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_2019_CFLA\__5.karta_SAM422\_5-2_karta_SAM_13_1_3_1\"/>
    </mc:Choice>
  </mc:AlternateContent>
  <xr:revisionPtr revIDLastSave="0" documentId="13_ncr:1_{6C3DB26D-54C6-4DCA-B962-48C8DEBAFBA7}" xr6:coauthVersionLast="47" xr6:coauthVersionMax="47" xr10:uidLastSave="{00000000-0000-0000-0000-000000000000}"/>
  <bookViews>
    <workbookView xWindow="-108" yWindow="-108" windowWidth="23256" windowHeight="12576" tabRatio="927" xr2:uid="{00000000-000D-0000-FFFF-FFFF00000000}"/>
  </bookViews>
  <sheets>
    <sheet name="1.lapa_Patēriņš" sheetId="5" r:id="rId1"/>
    <sheet name="2.lapa_Esošā situācija" sheetId="1" r:id="rId2"/>
    <sheet name="3.lapa_Situācija pēc" sheetId="2" r:id="rId3"/>
    <sheet name="4.lapa_Energoprasiba_apkurei" sheetId="13" r:id="rId4"/>
    <sheet name="5.lapa_Energoefektivitate" sheetId="7" r:id="rId5"/>
    <sheet name="6.lapa_Centralizētā" sheetId="10" r:id="rId6"/>
    <sheet name="7.lapa_Projekts" sheetId="11" r:id="rId7"/>
    <sheet name="PV_enerģija" sheetId="12" state="hidden" r:id="rId8"/>
  </sheets>
  <externalReferences>
    <externalReference r:id="rId9"/>
  </externalReferences>
  <definedNames>
    <definedName name="Output_Heizwaerme_Jahresverfahren">'2.lapa_Esošā situācija'!$L$66</definedName>
    <definedName name="_xlnm.Print_Area" localSheetId="0">'1.lapa_Patēriņš'!$A$1:$O$60</definedName>
    <definedName name="_xlnm.Print_Area" localSheetId="1">'2.lapa_Esošā situācija'!$A$1:$L$68</definedName>
    <definedName name="_xlnm.Print_Area" localSheetId="2">'3.lapa_Situācija pēc'!$A$1:$L$69</definedName>
    <definedName name="_xlnm.Print_Area" localSheetId="3">'4.lapa_Energoprasiba_apkurei'!$A$1:$P$37</definedName>
    <definedName name="_xlnm.Print_Area" localSheetId="4">'5.lapa_Energoefektivitate'!$B$1:$O$68</definedName>
    <definedName name="_xlnm.Print_Area" localSheetId="5">'6.lapa_Centralizētā'!$A$1:$F$26</definedName>
    <definedName name="_xlnm.Print_Area" localSheetId="6">'7.lapa_Projekts'!$A$1:$M$7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7" l="1"/>
  <c r="G35" i="7"/>
  <c r="O25" i="13"/>
  <c r="D27" i="13"/>
  <c r="E27" i="13"/>
  <c r="F27" i="13"/>
  <c r="G27" i="13"/>
  <c r="H27" i="13"/>
  <c r="I27" i="13"/>
  <c r="J27" i="13"/>
  <c r="K27" i="13"/>
  <c r="L27" i="13"/>
  <c r="M27" i="13"/>
  <c r="N27" i="13"/>
  <c r="C27" i="13"/>
  <c r="O13" i="13"/>
  <c r="O5" i="13"/>
  <c r="D15" i="13"/>
  <c r="E15" i="13"/>
  <c r="F15" i="13"/>
  <c r="G15" i="13"/>
  <c r="H15" i="13"/>
  <c r="I15" i="13"/>
  <c r="J15" i="13"/>
  <c r="K15" i="13"/>
  <c r="L15" i="13"/>
  <c r="M15" i="13"/>
  <c r="N15" i="13"/>
  <c r="C15" i="13"/>
  <c r="J46" i="1"/>
  <c r="G60" i="7"/>
  <c r="M29" i="7"/>
  <c r="O30" i="7"/>
  <c r="N29" i="7"/>
  <c r="K26" i="7"/>
  <c r="J26" i="7"/>
  <c r="I26" i="7"/>
  <c r="K19" i="7"/>
  <c r="J19" i="7"/>
  <c r="I19" i="7"/>
  <c r="C49" i="12"/>
  <c r="D49" i="12"/>
  <c r="E49" i="12"/>
  <c r="F49" i="12"/>
  <c r="G49" i="12"/>
  <c r="H49" i="12"/>
  <c r="I49" i="12"/>
  <c r="J49" i="12"/>
  <c r="K49" i="12"/>
  <c r="L49" i="12"/>
  <c r="M49" i="12"/>
  <c r="B49" i="12"/>
  <c r="N49" i="12" s="1"/>
  <c r="G49" i="7"/>
  <c r="G50" i="7"/>
  <c r="G51" i="7"/>
  <c r="G52" i="7"/>
  <c r="G53" i="7"/>
  <c r="G59" i="7"/>
  <c r="G42" i="7"/>
  <c r="G43" i="7"/>
  <c r="G44" i="7"/>
  <c r="G45" i="7"/>
  <c r="G46" i="7"/>
  <c r="O31" i="7"/>
  <c r="N31" i="7"/>
  <c r="M31" i="7"/>
  <c r="L31" i="7"/>
  <c r="E27" i="7"/>
  <c r="O27" i="7" s="1"/>
  <c r="O14" i="7"/>
  <c r="O15" i="7"/>
  <c r="O17" i="7"/>
  <c r="O19" i="7"/>
  <c r="O20" i="7"/>
  <c r="O21" i="7"/>
  <c r="O22" i="7"/>
  <c r="O23" i="7"/>
  <c r="O24" i="7"/>
  <c r="O26" i="7"/>
  <c r="N14" i="7"/>
  <c r="N15" i="7"/>
  <c r="N17" i="7"/>
  <c r="N19" i="7"/>
  <c r="N20" i="7"/>
  <c r="N21" i="7"/>
  <c r="N22" i="7"/>
  <c r="N23" i="7"/>
  <c r="N24" i="7"/>
  <c r="N26" i="7"/>
  <c r="N30" i="7"/>
  <c r="M14" i="7"/>
  <c r="M15" i="7"/>
  <c r="M17" i="7"/>
  <c r="M19" i="7"/>
  <c r="M20" i="7"/>
  <c r="M21" i="7"/>
  <c r="M22" i="7"/>
  <c r="M23" i="7"/>
  <c r="M24" i="7"/>
  <c r="M26" i="7"/>
  <c r="M30" i="7"/>
  <c r="L14" i="7"/>
  <c r="L15" i="7"/>
  <c r="L17" i="7"/>
  <c r="L19" i="7"/>
  <c r="L20" i="7"/>
  <c r="L21" i="7"/>
  <c r="L22" i="7"/>
  <c r="L23" i="7"/>
  <c r="L24" i="7"/>
  <c r="L26" i="7"/>
  <c r="L30" i="7"/>
  <c r="E28" i="7"/>
  <c r="I46" i="1"/>
  <c r="I46" i="2"/>
  <c r="I50" i="12" l="1"/>
  <c r="H50" i="12"/>
  <c r="G50" i="12"/>
  <c r="E50" i="12"/>
  <c r="D50" i="12"/>
  <c r="J50" i="12"/>
  <c r="B50" i="12"/>
  <c r="N50" i="12" s="1"/>
  <c r="F50" i="12"/>
  <c r="M50" i="12"/>
  <c r="L50" i="12"/>
  <c r="K50" i="12"/>
  <c r="C50" i="12"/>
  <c r="L29" i="7"/>
  <c r="O29" i="7"/>
  <c r="G29" i="7"/>
  <c r="G27" i="7"/>
  <c r="M27" i="7"/>
  <c r="L27" i="7"/>
  <c r="N27" i="7"/>
  <c r="L66" i="7"/>
  <c r="N52" i="12"/>
  <c r="C52" i="12"/>
  <c r="D52" i="12"/>
  <c r="E52" i="12"/>
  <c r="F52" i="12"/>
  <c r="G52" i="12"/>
  <c r="H52" i="12"/>
  <c r="I52" i="12"/>
  <c r="J52" i="12"/>
  <c r="K52" i="12"/>
  <c r="L52" i="12"/>
  <c r="M52" i="12"/>
  <c r="B52" i="12"/>
  <c r="N51" i="12"/>
  <c r="N15" i="12"/>
  <c r="E57" i="7"/>
  <c r="N14" i="12" s="1"/>
  <c r="E56" i="7"/>
  <c r="N13" i="12" s="1"/>
  <c r="E62" i="2"/>
  <c r="D53" i="2"/>
  <c r="D54" i="2"/>
  <c r="D55" i="2"/>
  <c r="D56" i="2"/>
  <c r="D52" i="2"/>
  <c r="H35" i="2"/>
  <c r="C35" i="2"/>
  <c r="F35" i="2"/>
  <c r="F36" i="2"/>
  <c r="F37" i="2"/>
  <c r="F38" i="2"/>
  <c r="F39" i="2"/>
  <c r="F34" i="2"/>
  <c r="F14" i="2"/>
  <c r="F15" i="2"/>
  <c r="F16" i="2"/>
  <c r="H16" i="2" s="1"/>
  <c r="F17" i="2"/>
  <c r="H17" i="2" s="1"/>
  <c r="F18" i="2"/>
  <c r="F19" i="2"/>
  <c r="F20" i="2"/>
  <c r="H20" i="2" s="1"/>
  <c r="F21" i="2"/>
  <c r="F22" i="2"/>
  <c r="F23" i="2"/>
  <c r="F24" i="2"/>
  <c r="F25" i="2"/>
  <c r="F26" i="2"/>
  <c r="F27" i="2"/>
  <c r="F28" i="2"/>
  <c r="F29" i="2"/>
  <c r="F30" i="2"/>
  <c r="F31" i="2"/>
  <c r="F32" i="2"/>
  <c r="F13" i="2"/>
  <c r="H13" i="2" s="1"/>
  <c r="H19" i="2"/>
  <c r="H18" i="2"/>
  <c r="H15" i="2"/>
  <c r="H14" i="2"/>
  <c r="J8" i="2"/>
  <c r="J7" i="2"/>
  <c r="D15" i="12" l="1"/>
  <c r="G58" i="7"/>
  <c r="B14" i="12"/>
  <c r="C14" i="12" s="1"/>
  <c r="D14" i="12" s="1"/>
  <c r="E14" i="12" s="1"/>
  <c r="F14" i="12" s="1"/>
  <c r="G14" i="12" s="1"/>
  <c r="H14" i="12" s="1"/>
  <c r="I14" i="12" s="1"/>
  <c r="J14" i="12" s="1"/>
  <c r="K14" i="12" s="1"/>
  <c r="L14" i="12" s="1"/>
  <c r="M14" i="12" s="1"/>
  <c r="G57" i="7"/>
  <c r="G56" i="7"/>
  <c r="H15" i="12" l="1"/>
  <c r="C15" i="12"/>
  <c r="M15" i="12"/>
  <c r="J15" i="12"/>
  <c r="G15" i="12"/>
  <c r="I15" i="12"/>
  <c r="K15" i="12"/>
  <c r="L15" i="12"/>
  <c r="B15" i="12"/>
  <c r="F15" i="12"/>
  <c r="E15" i="12"/>
  <c r="P14" i="12"/>
  <c r="P15" i="12" l="1"/>
  <c r="A34" i="5"/>
  <c r="I4" i="7"/>
  <c r="I3" i="7"/>
  <c r="H13" i="7"/>
  <c r="H20" i="7" s="1"/>
  <c r="H35" i="1" l="1"/>
  <c r="H20" i="1"/>
  <c r="H19" i="1"/>
  <c r="H18" i="1"/>
  <c r="H17" i="1"/>
  <c r="H16" i="1"/>
  <c r="H15" i="1"/>
  <c r="H14" i="1"/>
  <c r="H13" i="1"/>
  <c r="H39" i="1"/>
  <c r="H38" i="1"/>
  <c r="H37" i="1"/>
  <c r="H36" i="1"/>
  <c r="H34" i="1"/>
  <c r="H30" i="1"/>
  <c r="H31" i="1"/>
  <c r="H32" i="1"/>
  <c r="H22" i="1"/>
  <c r="H23" i="1"/>
  <c r="H24" i="1"/>
  <c r="H25" i="1"/>
  <c r="H26" i="1"/>
  <c r="H27" i="1"/>
  <c r="H28" i="1"/>
  <c r="H29" i="1"/>
  <c r="D5" i="1"/>
  <c r="D6" i="1"/>
  <c r="O23" i="13" l="1"/>
  <c r="N24" i="13"/>
  <c r="M24" i="13"/>
  <c r="L24" i="13"/>
  <c r="K24" i="13"/>
  <c r="J24" i="13"/>
  <c r="I24" i="13"/>
  <c r="H24" i="13"/>
  <c r="G24" i="13"/>
  <c r="F24" i="13"/>
  <c r="E24" i="13"/>
  <c r="D24" i="13"/>
  <c r="O22" i="13"/>
  <c r="K21" i="13"/>
  <c r="C21" i="13"/>
  <c r="N21" i="13"/>
  <c r="N26" i="13" s="1"/>
  <c r="F21" i="13"/>
  <c r="F26" i="13" s="1"/>
  <c r="J12" i="13"/>
  <c r="I12" i="13"/>
  <c r="E12" i="13"/>
  <c r="D12" i="13"/>
  <c r="N9" i="13"/>
  <c r="M9" i="13"/>
  <c r="L9" i="13"/>
  <c r="K9" i="13"/>
  <c r="J9" i="13"/>
  <c r="I9" i="13"/>
  <c r="H9" i="13"/>
  <c r="G9" i="13"/>
  <c r="F9" i="13"/>
  <c r="E9" i="13"/>
  <c r="D9" i="13"/>
  <c r="K26" i="13" l="1"/>
  <c r="D14" i="13"/>
  <c r="E14" i="13"/>
  <c r="I14" i="13"/>
  <c r="I21" i="13"/>
  <c r="I26" i="13" s="1"/>
  <c r="D21" i="13"/>
  <c r="D26" i="13" s="1"/>
  <c r="L21" i="13"/>
  <c r="L26" i="13" s="1"/>
  <c r="O20" i="13"/>
  <c r="H21" i="13"/>
  <c r="H26" i="13" s="1"/>
  <c r="J21" i="13"/>
  <c r="J26" i="13" s="1"/>
  <c r="E21" i="13"/>
  <c r="E26" i="13" s="1"/>
  <c r="M21" i="13"/>
  <c r="M26" i="13" s="1"/>
  <c r="O19" i="13"/>
  <c r="G21" i="13"/>
  <c r="G26" i="13" s="1"/>
  <c r="C24" i="13"/>
  <c r="O24" i="13" s="1"/>
  <c r="L12" i="13"/>
  <c r="L14" i="13" s="1"/>
  <c r="M12" i="13"/>
  <c r="M14" i="13" s="1"/>
  <c r="J14" i="13"/>
  <c r="K12" i="13"/>
  <c r="K14" i="13" s="1"/>
  <c r="O11" i="13"/>
  <c r="F12" i="13"/>
  <c r="F14" i="13" s="1"/>
  <c r="N12" i="13"/>
  <c r="N14" i="13" s="1"/>
  <c r="O6" i="13"/>
  <c r="G12" i="13"/>
  <c r="G14" i="13" s="1"/>
  <c r="H12" i="13"/>
  <c r="H14" i="13" s="1"/>
  <c r="C12" i="13"/>
  <c r="O21" i="13" l="1"/>
  <c r="C26" i="13"/>
  <c r="O10" i="13"/>
  <c r="O12" i="13"/>
  <c r="O8" i="13"/>
  <c r="O27" i="13" l="1"/>
  <c r="O26" i="13"/>
  <c r="O7" i="13" l="1"/>
  <c r="C9" i="13"/>
  <c r="O9" i="13" l="1"/>
  <c r="C14" i="13"/>
  <c r="O15" i="13" l="1"/>
  <c r="O14" i="13"/>
  <c r="H45" i="1" l="1"/>
  <c r="J45" i="1" s="1"/>
  <c r="D44" i="2"/>
  <c r="D44" i="1"/>
  <c r="I31" i="5"/>
  <c r="F2" i="12"/>
  <c r="F5" i="12" s="1"/>
  <c r="F17" i="12" s="1"/>
  <c r="D4" i="2"/>
  <c r="N27" i="12"/>
  <c r="N28" i="12"/>
  <c r="N29" i="12"/>
  <c r="N30" i="12"/>
  <c r="N31" i="12"/>
  <c r="N32" i="12"/>
  <c r="N33" i="12"/>
  <c r="N34" i="12"/>
  <c r="N35" i="12"/>
  <c r="N36" i="12"/>
  <c r="N37" i="12"/>
  <c r="N38" i="12"/>
  <c r="N39" i="12"/>
  <c r="N40" i="12"/>
  <c r="N41" i="12"/>
  <c r="N42" i="12"/>
  <c r="N43" i="12"/>
  <c r="N44" i="12"/>
  <c r="N45" i="12"/>
  <c r="N46" i="12"/>
  <c r="N47" i="12"/>
  <c r="N26" i="12"/>
  <c r="M10" i="12"/>
  <c r="L10" i="12"/>
  <c r="K10" i="12"/>
  <c r="J10" i="12"/>
  <c r="I10" i="12"/>
  <c r="H10" i="12"/>
  <c r="G10" i="12"/>
  <c r="F10" i="12"/>
  <c r="E10" i="12"/>
  <c r="D10" i="12"/>
  <c r="C10" i="12"/>
  <c r="B10" i="12"/>
  <c r="M7" i="12"/>
  <c r="L7" i="12"/>
  <c r="K7" i="12"/>
  <c r="J7" i="12"/>
  <c r="I7" i="12"/>
  <c r="H7" i="12"/>
  <c r="G7" i="12"/>
  <c r="F7" i="12"/>
  <c r="E7" i="12"/>
  <c r="D7" i="12"/>
  <c r="C7" i="12"/>
  <c r="B7" i="12"/>
  <c r="N7" i="12" s="1"/>
  <c r="M6" i="12"/>
  <c r="L6" i="12"/>
  <c r="K6" i="12"/>
  <c r="J6" i="12"/>
  <c r="I6" i="12"/>
  <c r="H6" i="12"/>
  <c r="G6" i="12"/>
  <c r="F6" i="12"/>
  <c r="E6" i="12"/>
  <c r="D6" i="12"/>
  <c r="C6" i="12"/>
  <c r="B6" i="12"/>
  <c r="N6" i="12" s="1"/>
  <c r="H44" i="1" l="1"/>
  <c r="D46" i="1"/>
  <c r="H46" i="1" s="1"/>
  <c r="J44" i="1"/>
  <c r="H44" i="2"/>
  <c r="D45" i="2"/>
  <c r="G5" i="12"/>
  <c r="G17" i="12" s="1"/>
  <c r="H5" i="12"/>
  <c r="H17" i="12" s="1"/>
  <c r="I5" i="12"/>
  <c r="I17" i="12" s="1"/>
  <c r="J5" i="12"/>
  <c r="J17" i="12" s="1"/>
  <c r="C5" i="12"/>
  <c r="C17" i="12" s="1"/>
  <c r="K5" i="12"/>
  <c r="K17" i="12" s="1"/>
  <c r="B5" i="12"/>
  <c r="B17" i="12" s="1"/>
  <c r="D5" i="12"/>
  <c r="D17" i="12" s="1"/>
  <c r="L5" i="12"/>
  <c r="L17" i="12" s="1"/>
  <c r="E5" i="12"/>
  <c r="E17" i="12" s="1"/>
  <c r="M5" i="12"/>
  <c r="M17" i="12" s="1"/>
  <c r="D46" i="2" l="1"/>
  <c r="H46" i="2" s="1"/>
  <c r="H45" i="2"/>
  <c r="N5" i="12"/>
  <c r="N17" i="12"/>
  <c r="L68" i="7" s="1"/>
  <c r="O60" i="7" l="1"/>
  <c r="M60" i="7"/>
  <c r="L60" i="7"/>
  <c r="N60" i="7" s="1"/>
  <c r="H62" i="2"/>
  <c r="B62" i="2"/>
  <c r="J62" i="2" s="1"/>
  <c r="J56" i="2"/>
  <c r="J55" i="2"/>
  <c r="J54" i="2"/>
  <c r="J58" i="2" s="1"/>
  <c r="J53" i="2"/>
  <c r="J52" i="2"/>
  <c r="I39" i="2"/>
  <c r="H39" i="2"/>
  <c r="I38" i="2"/>
  <c r="H38" i="2"/>
  <c r="I37" i="2"/>
  <c r="H37" i="2"/>
  <c r="I36" i="2"/>
  <c r="H36" i="2"/>
  <c r="I35" i="2"/>
  <c r="I34" i="2"/>
  <c r="H34" i="2"/>
  <c r="I32" i="2"/>
  <c r="H32" i="2"/>
  <c r="I31" i="2"/>
  <c r="H31" i="2"/>
  <c r="J31" i="2" s="1"/>
  <c r="I30" i="2"/>
  <c r="H30" i="2"/>
  <c r="I29" i="2"/>
  <c r="H29" i="2"/>
  <c r="I28" i="2"/>
  <c r="H28" i="2"/>
  <c r="I27" i="2"/>
  <c r="H27" i="2"/>
  <c r="J27" i="2" s="1"/>
  <c r="I26" i="2"/>
  <c r="H26" i="2"/>
  <c r="I25" i="2"/>
  <c r="H25" i="2"/>
  <c r="I24" i="2"/>
  <c r="J24" i="2" s="1"/>
  <c r="I23" i="2"/>
  <c r="J23" i="2"/>
  <c r="I22" i="2"/>
  <c r="I21" i="2"/>
  <c r="J21" i="2"/>
  <c r="I20" i="2"/>
  <c r="I19" i="2"/>
  <c r="J19" i="2"/>
  <c r="I18" i="2"/>
  <c r="I17" i="2"/>
  <c r="J17" i="2"/>
  <c r="I16" i="2"/>
  <c r="I15" i="2"/>
  <c r="J15" i="2"/>
  <c r="I14" i="2"/>
  <c r="J14" i="2" s="1"/>
  <c r="I13" i="2"/>
  <c r="J13" i="2" s="1"/>
  <c r="D6" i="2"/>
  <c r="D5" i="2"/>
  <c r="J25" i="2" l="1"/>
  <c r="J29" i="2"/>
  <c r="J34" i="2"/>
  <c r="J38" i="2"/>
  <c r="J18" i="2"/>
  <c r="J22" i="2"/>
  <c r="J26" i="2"/>
  <c r="J30" i="2"/>
  <c r="J35" i="2"/>
  <c r="J39" i="2"/>
  <c r="J36" i="2"/>
  <c r="J20" i="2"/>
  <c r="J28" i="2"/>
  <c r="J32" i="2"/>
  <c r="J37" i="2"/>
  <c r="J16" i="2"/>
  <c r="I44" i="2"/>
  <c r="J40" i="2" l="1"/>
  <c r="J44" i="2"/>
  <c r="K18" i="5" l="1"/>
  <c r="J18" i="5"/>
  <c r="K30" i="7"/>
  <c r="J30" i="7"/>
  <c r="I30" i="7"/>
  <c r="G30" i="7"/>
  <c r="K59" i="7"/>
  <c r="J59" i="7"/>
  <c r="M59" i="7" s="1"/>
  <c r="I59" i="7"/>
  <c r="L59" i="7" s="1"/>
  <c r="N59" i="7" s="1"/>
  <c r="O67" i="7"/>
  <c r="J53" i="7"/>
  <c r="I53" i="7"/>
  <c r="J51" i="7"/>
  <c r="I51" i="7"/>
  <c r="J50" i="7"/>
  <c r="I50" i="7"/>
  <c r="J49" i="7"/>
  <c r="I49" i="7"/>
  <c r="J46" i="7"/>
  <c r="I46" i="7"/>
  <c r="J44" i="7"/>
  <c r="I44" i="7"/>
  <c r="J43" i="7"/>
  <c r="I43" i="7"/>
  <c r="J42" i="7"/>
  <c r="I42" i="7"/>
  <c r="K53" i="7"/>
  <c r="K51" i="7"/>
  <c r="K50" i="7"/>
  <c r="K49" i="7"/>
  <c r="K46" i="7"/>
  <c r="K44" i="7"/>
  <c r="K43" i="7"/>
  <c r="K42" i="7"/>
  <c r="K24" i="7"/>
  <c r="K22" i="7"/>
  <c r="K21" i="7"/>
  <c r="K20" i="7"/>
  <c r="K18" i="7"/>
  <c r="K17" i="7"/>
  <c r="K14" i="7"/>
  <c r="K15" i="7"/>
  <c r="J14" i="7"/>
  <c r="J15" i="7"/>
  <c r="J17" i="7"/>
  <c r="J18" i="7"/>
  <c r="J20" i="7"/>
  <c r="J21" i="7"/>
  <c r="J22" i="7"/>
  <c r="J24" i="7"/>
  <c r="I14" i="7"/>
  <c r="I15" i="7"/>
  <c r="I17" i="7"/>
  <c r="I18" i="7"/>
  <c r="I20" i="7"/>
  <c r="I21" i="7"/>
  <c r="I22" i="7"/>
  <c r="I24" i="7"/>
  <c r="O65" i="7"/>
  <c r="K58" i="7"/>
  <c r="O58" i="7" s="1"/>
  <c r="D54" i="7"/>
  <c r="K52" i="7"/>
  <c r="J52" i="7"/>
  <c r="I52" i="7"/>
  <c r="O51" i="7"/>
  <c r="N51" i="7"/>
  <c r="M51" i="7"/>
  <c r="L51" i="7"/>
  <c r="H49" i="7"/>
  <c r="K45" i="7"/>
  <c r="J45" i="7"/>
  <c r="I45" i="7"/>
  <c r="M43" i="7"/>
  <c r="L43" i="7"/>
  <c r="N43" i="7" s="1"/>
  <c r="C13" i="12" l="1"/>
  <c r="F13" i="12"/>
  <c r="I13" i="12"/>
  <c r="J13" i="12"/>
  <c r="B13" i="12"/>
  <c r="G13" i="12"/>
  <c r="L13" i="12"/>
  <c r="H13" i="12"/>
  <c r="D13" i="12"/>
  <c r="K13" i="12"/>
  <c r="M13" i="12"/>
  <c r="E13" i="12"/>
  <c r="O59" i="7"/>
  <c r="K56" i="7"/>
  <c r="I56" i="7"/>
  <c r="I58" i="7"/>
  <c r="L58" i="7" s="1"/>
  <c r="J56" i="7"/>
  <c r="J58" i="7"/>
  <c r="M58" i="7" s="1"/>
  <c r="M53" i="7"/>
  <c r="M42" i="7"/>
  <c r="O44" i="7"/>
  <c r="M46" i="7"/>
  <c r="M50" i="7"/>
  <c r="L44" i="7"/>
  <c r="M44" i="7"/>
  <c r="N44" i="7" s="1"/>
  <c r="O43" i="7"/>
  <c r="O45" i="7"/>
  <c r="O52" i="7"/>
  <c r="L49" i="7"/>
  <c r="L53" i="7"/>
  <c r="O42" i="7"/>
  <c r="O46" i="7"/>
  <c r="O50" i="7"/>
  <c r="L42" i="7"/>
  <c r="M45" i="7"/>
  <c r="L46" i="7"/>
  <c r="O49" i="7"/>
  <c r="M52" i="7"/>
  <c r="L45" i="7"/>
  <c r="L52" i="7"/>
  <c r="N52" i="7" s="1"/>
  <c r="L50" i="7"/>
  <c r="N50" i="7" s="1"/>
  <c r="O53" i="7"/>
  <c r="M49" i="7"/>
  <c r="K23" i="7"/>
  <c r="G28" i="7"/>
  <c r="G26" i="7"/>
  <c r="G24" i="7"/>
  <c r="G23" i="7"/>
  <c r="G22" i="7"/>
  <c r="G21" i="7"/>
  <c r="G20" i="7"/>
  <c r="G19" i="7"/>
  <c r="G18" i="7"/>
  <c r="G17" i="7"/>
  <c r="G15" i="7"/>
  <c r="G14" i="7"/>
  <c r="D25" i="7"/>
  <c r="F22" i="10"/>
  <c r="F19" i="10"/>
  <c r="F18" i="10"/>
  <c r="M18" i="7" l="1"/>
  <c r="L18" i="7"/>
  <c r="O18" i="7"/>
  <c r="P13" i="12"/>
  <c r="N49" i="7"/>
  <c r="K27" i="7"/>
  <c r="J27" i="7"/>
  <c r="I27" i="7"/>
  <c r="I57" i="7"/>
  <c r="K57" i="7"/>
  <c r="J57" i="7"/>
  <c r="N53" i="7"/>
  <c r="N46" i="7"/>
  <c r="N42" i="7"/>
  <c r="N45" i="7"/>
  <c r="N18" i="7" l="1"/>
  <c r="I29" i="7"/>
  <c r="K29" i="7"/>
  <c r="J29" i="7"/>
  <c r="K28" i="7"/>
  <c r="O28" i="7" s="1"/>
  <c r="I28" i="7"/>
  <c r="L28" i="7" s="1"/>
  <c r="J28" i="7"/>
  <c r="M28" i="7" s="1"/>
  <c r="E52" i="1"/>
  <c r="I34" i="5"/>
  <c r="B62" i="1"/>
  <c r="J53" i="1"/>
  <c r="J54" i="1"/>
  <c r="J55" i="1"/>
  <c r="J56" i="1"/>
  <c r="J52" i="1"/>
  <c r="I38" i="1"/>
  <c r="I32" i="1"/>
  <c r="J32" i="1"/>
  <c r="I31" i="1"/>
  <c r="J31" i="1"/>
  <c r="I30" i="1"/>
  <c r="I29" i="1"/>
  <c r="I28" i="1"/>
  <c r="I27" i="1"/>
  <c r="I26" i="1"/>
  <c r="I25" i="1"/>
  <c r="I24" i="1"/>
  <c r="I23" i="1"/>
  <c r="I22" i="1"/>
  <c r="I21" i="1"/>
  <c r="I20" i="1"/>
  <c r="I19" i="1"/>
  <c r="I18" i="1"/>
  <c r="I17" i="1"/>
  <c r="I44" i="1"/>
  <c r="N28" i="7" l="1"/>
  <c r="D34" i="5"/>
  <c r="C34" i="5"/>
  <c r="J30" i="1"/>
  <c r="J58" i="1"/>
  <c r="J28" i="1"/>
  <c r="J21" i="1"/>
  <c r="J25" i="1"/>
  <c r="J29" i="1"/>
  <c r="J38" i="1"/>
  <c r="J27" i="1"/>
  <c r="J22" i="1"/>
  <c r="J26" i="1"/>
  <c r="J24" i="1"/>
  <c r="J23" i="1"/>
  <c r="J20" i="1"/>
  <c r="J19" i="1"/>
  <c r="J17" i="1"/>
  <c r="J18" i="1"/>
  <c r="J47" i="1" l="1"/>
  <c r="E34" i="5" l="1"/>
  <c r="F34" i="5"/>
  <c r="G34" i="5"/>
  <c r="H34" i="5"/>
  <c r="J34" i="5"/>
  <c r="K34" i="5"/>
  <c r="L34" i="5"/>
  <c r="M34" i="5"/>
  <c r="N34" i="5"/>
  <c r="D35" i="5"/>
  <c r="E35" i="5"/>
  <c r="F35" i="5"/>
  <c r="G35" i="5"/>
  <c r="H35" i="5"/>
  <c r="I35" i="5"/>
  <c r="J35" i="5"/>
  <c r="K35" i="5"/>
  <c r="L35" i="5"/>
  <c r="M35" i="5"/>
  <c r="N35" i="5"/>
  <c r="G36" i="5"/>
  <c r="H36" i="5"/>
  <c r="I36" i="5"/>
  <c r="J36" i="5"/>
  <c r="K36" i="5"/>
  <c r="G37" i="5"/>
  <c r="H37" i="5"/>
  <c r="I37" i="5"/>
  <c r="J37" i="5"/>
  <c r="K37" i="5"/>
  <c r="G38" i="5"/>
  <c r="H38" i="5"/>
  <c r="I38" i="5"/>
  <c r="J38" i="5"/>
  <c r="K38" i="5"/>
  <c r="G31" i="5"/>
  <c r="P59" i="5"/>
  <c r="O59" i="5" s="1"/>
  <c r="P58" i="5"/>
  <c r="O58" i="5" s="1"/>
  <c r="P57" i="5"/>
  <c r="O57" i="5" s="1"/>
  <c r="P56" i="5"/>
  <c r="O56" i="5" s="1"/>
  <c r="P55" i="5"/>
  <c r="O55" i="5" s="1"/>
  <c r="P47" i="5"/>
  <c r="O47" i="5" s="1"/>
  <c r="P46" i="5"/>
  <c r="O46" i="5" s="1"/>
  <c r="P45" i="5"/>
  <c r="O45" i="5" s="1"/>
  <c r="P44" i="5"/>
  <c r="O44" i="5" s="1"/>
  <c r="P43" i="5"/>
  <c r="O43" i="5" s="1"/>
  <c r="P28" i="5"/>
  <c r="O28" i="5" s="1"/>
  <c r="P27" i="5"/>
  <c r="O27" i="5" s="1"/>
  <c r="P26" i="5"/>
  <c r="O26" i="5" s="1"/>
  <c r="P25" i="5"/>
  <c r="O25" i="5" s="1"/>
  <c r="P24" i="5"/>
  <c r="O24" i="5" s="1"/>
  <c r="P11" i="5"/>
  <c r="O11" i="5" s="1"/>
  <c r="P12" i="5"/>
  <c r="O12" i="5" s="1"/>
  <c r="P13" i="5"/>
  <c r="O13" i="5" s="1"/>
  <c r="P14" i="5"/>
  <c r="O14" i="5" s="1"/>
  <c r="P10" i="5"/>
  <c r="O10" i="5" s="1"/>
  <c r="O60" i="5" l="1"/>
  <c r="O15" i="5"/>
  <c r="O29" i="5"/>
  <c r="O48" i="5"/>
  <c r="B69" i="7" s="1"/>
  <c r="N36" i="5"/>
  <c r="M36" i="5"/>
  <c r="E36" i="5"/>
  <c r="N38" i="5"/>
  <c r="F38" i="5"/>
  <c r="L36" i="5"/>
  <c r="D36" i="5"/>
  <c r="M38" i="5"/>
  <c r="E38" i="5"/>
  <c r="N37" i="5"/>
  <c r="F37" i="5"/>
  <c r="L38" i="5"/>
  <c r="M37" i="5"/>
  <c r="E37" i="5"/>
  <c r="D38" i="5"/>
  <c r="L37" i="5"/>
  <c r="D37" i="5"/>
  <c r="F36" i="5"/>
  <c r="C38" i="5"/>
  <c r="C35" i="5"/>
  <c r="C37" i="5"/>
  <c r="C36" i="5"/>
  <c r="F10" i="10" l="1"/>
  <c r="F2" i="11"/>
  <c r="A35" i="5"/>
  <c r="A36" i="5"/>
  <c r="A37" i="5"/>
  <c r="A38" i="5"/>
  <c r="G25" i="7" l="1"/>
  <c r="G33" i="7" s="1"/>
  <c r="I25" i="7"/>
  <c r="L25" i="7" s="1"/>
  <c r="J25" i="7"/>
  <c r="M25" i="7" s="1"/>
  <c r="K25" i="7"/>
  <c r="O25" i="7" s="1"/>
  <c r="N25" i="7"/>
  <c r="F21" i="10"/>
  <c r="F23" i="10" s="1"/>
  <c r="E24" i="10" s="1"/>
  <c r="F12" i="10"/>
  <c r="G16" i="7"/>
  <c r="K16" i="7"/>
  <c r="G54" i="7" l="1"/>
  <c r="N12" i="12"/>
  <c r="K54" i="7"/>
  <c r="I54" i="7"/>
  <c r="J54" i="7"/>
  <c r="J55" i="7"/>
  <c r="G55" i="7"/>
  <c r="I55" i="7"/>
  <c r="K55" i="7"/>
  <c r="M55" i="7"/>
  <c r="L55" i="7"/>
  <c r="O55" i="7"/>
  <c r="N55" i="7"/>
  <c r="E13" i="10"/>
  <c r="D13" i="10"/>
  <c r="C13" i="10"/>
  <c r="O16" i="7"/>
  <c r="M16" i="7"/>
  <c r="L16" i="7"/>
  <c r="P35" i="5"/>
  <c r="O35" i="5" s="1"/>
  <c r="E12" i="12" l="1"/>
  <c r="M12" i="12"/>
  <c r="C12" i="12"/>
  <c r="I12" i="12"/>
  <c r="F12" i="12"/>
  <c r="J12" i="12"/>
  <c r="B12" i="12"/>
  <c r="G12" i="12"/>
  <c r="K12" i="12"/>
  <c r="H12" i="12"/>
  <c r="D12" i="12"/>
  <c r="L12" i="12"/>
  <c r="J23" i="7"/>
  <c r="I23" i="7"/>
  <c r="I16" i="7"/>
  <c r="J16" i="7"/>
  <c r="N16" i="7"/>
  <c r="P34" i="5"/>
  <c r="O34" i="5" s="1"/>
  <c r="P36" i="5"/>
  <c r="O36" i="5" s="1"/>
  <c r="P38" i="5"/>
  <c r="O38" i="5" s="1"/>
  <c r="P37" i="5"/>
  <c r="O37" i="5" s="1"/>
  <c r="P12" i="12" l="1"/>
  <c r="O39" i="5"/>
  <c r="I39" i="1"/>
  <c r="I37" i="1"/>
  <c r="I36" i="1"/>
  <c r="I35" i="1"/>
  <c r="I34" i="1"/>
  <c r="J34" i="1" s="1"/>
  <c r="I16" i="1"/>
  <c r="I15" i="1"/>
  <c r="I14" i="1"/>
  <c r="I13" i="1"/>
  <c r="J13" i="1" s="1"/>
  <c r="J39" i="1"/>
  <c r="J14" i="1" l="1"/>
  <c r="J37" i="1"/>
  <c r="J36" i="1"/>
  <c r="J16" i="1"/>
  <c r="J35" i="1"/>
  <c r="J15" i="1"/>
  <c r="J40" i="1" l="1"/>
  <c r="H62" i="1"/>
  <c r="J62" i="1" s="1"/>
  <c r="J66" i="1" l="1"/>
  <c r="H66" i="1" l="1"/>
  <c r="K68" i="1" s="1"/>
  <c r="C13" i="7"/>
  <c r="K13" i="7" l="1"/>
  <c r="I13" i="7"/>
  <c r="J13" i="7"/>
  <c r="G13" i="7"/>
  <c r="G32" i="7" s="1"/>
  <c r="O13" i="7" l="1"/>
  <c r="O32" i="7" s="1"/>
  <c r="M13" i="7"/>
  <c r="M32" i="7" s="1"/>
  <c r="L13" i="7"/>
  <c r="L32" i="7" s="1"/>
  <c r="G34" i="7"/>
  <c r="J45" i="2"/>
  <c r="B48" i="2" s="1"/>
  <c r="N13" i="7" l="1"/>
  <c r="N32" i="7" s="1"/>
  <c r="E46" i="2"/>
  <c r="J46" i="2" s="1"/>
  <c r="J47" i="2" s="1"/>
  <c r="J66" i="2" s="1"/>
  <c r="H66" i="2" l="1"/>
  <c r="K68" i="2" s="1"/>
  <c r="C42" i="7"/>
  <c r="G47" i="7" l="1"/>
  <c r="N11" i="12" s="1"/>
  <c r="G48" i="7" l="1"/>
  <c r="K48" i="7"/>
  <c r="O48" i="7" s="1"/>
  <c r="I48" i="7"/>
  <c r="L48" i="7" s="1"/>
  <c r="J48" i="7"/>
  <c r="M48" i="7" s="1"/>
  <c r="C11" i="12"/>
  <c r="K11" i="12"/>
  <c r="H11" i="12"/>
  <c r="J11" i="12"/>
  <c r="D11" i="12"/>
  <c r="L11" i="12"/>
  <c r="I11" i="12"/>
  <c r="E11" i="12"/>
  <c r="M11" i="12"/>
  <c r="F11" i="12"/>
  <c r="B11" i="12"/>
  <c r="G11" i="12"/>
  <c r="K47" i="7"/>
  <c r="J47" i="7"/>
  <c r="I47" i="7"/>
  <c r="N48" i="7" l="1"/>
  <c r="C16" i="12"/>
  <c r="D16" i="12"/>
  <c r="K16" i="12"/>
  <c r="E16" i="12"/>
  <c r="J16" i="12"/>
  <c r="H16" i="12"/>
  <c r="M16" i="12"/>
  <c r="L16" i="12"/>
  <c r="F16" i="12"/>
  <c r="I16" i="12"/>
  <c r="G16" i="12"/>
  <c r="G18" i="12" l="1"/>
  <c r="G19" i="12" s="1"/>
  <c r="G20" i="12"/>
  <c r="K18" i="12"/>
  <c r="K19" i="12" s="1"/>
  <c r="K20" i="12"/>
  <c r="F18" i="12"/>
  <c r="F19" i="12" s="1"/>
  <c r="F20" i="12"/>
  <c r="P11" i="12"/>
  <c r="B16" i="12"/>
  <c r="L20" i="12"/>
  <c r="L18" i="12"/>
  <c r="L19" i="12" s="1"/>
  <c r="C20" i="12"/>
  <c r="C18" i="12"/>
  <c r="C19" i="12" s="1"/>
  <c r="D18" i="12"/>
  <c r="D19" i="12" s="1"/>
  <c r="D20" i="12"/>
  <c r="M18" i="12"/>
  <c r="M19" i="12" s="1"/>
  <c r="M20" i="12"/>
  <c r="H18" i="12"/>
  <c r="H19" i="12" s="1"/>
  <c r="H20" i="12"/>
  <c r="J18" i="12"/>
  <c r="J19" i="12" s="1"/>
  <c r="J20" i="12"/>
  <c r="I18" i="12"/>
  <c r="I19" i="12" s="1"/>
  <c r="I20" i="12"/>
  <c r="O47" i="7"/>
  <c r="L47" i="7"/>
  <c r="M47" i="7"/>
  <c r="E20" i="12"/>
  <c r="E18" i="12"/>
  <c r="E19" i="12" s="1"/>
  <c r="N47" i="7" l="1"/>
  <c r="B20" i="12"/>
  <c r="N20" i="12" s="1"/>
  <c r="B18" i="12"/>
  <c r="N16" i="12"/>
  <c r="B19" i="12" l="1"/>
  <c r="N19" i="12" s="1"/>
  <c r="N18" i="12"/>
  <c r="G61" i="7" s="1"/>
  <c r="O54" i="7"/>
  <c r="L54" i="7"/>
  <c r="M54" i="7"/>
  <c r="M61" i="7" l="1"/>
  <c r="O61" i="7"/>
  <c r="L61" i="7"/>
  <c r="O56" i="7"/>
  <c r="L56" i="7"/>
  <c r="M56" i="7"/>
  <c r="N54" i="7"/>
  <c r="N61" i="7" l="1"/>
  <c r="N56" i="7"/>
  <c r="O57" i="7" l="1"/>
  <c r="M57" i="7"/>
  <c r="L57" i="7"/>
  <c r="L62" i="7" l="1"/>
  <c r="M62" i="7"/>
  <c r="O62" i="7"/>
  <c r="N57" i="7"/>
  <c r="I6" i="7" l="1"/>
  <c r="E2" i="11" s="1"/>
  <c r="E3" i="11" s="1"/>
  <c r="N58" i="7"/>
  <c r="N62" i="7" l="1"/>
  <c r="I5" i="7" l="1"/>
  <c r="D2" i="11" s="1"/>
  <c r="I2" i="11" l="1"/>
  <c r="M2" i="11" s="1"/>
  <c r="D3" i="11"/>
  <c r="D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Modris</author>
  </authors>
  <commentList>
    <comment ref="C9" authorId="0" shapeId="0" xr:uid="{00000000-0006-0000-0300-000001000000}">
      <text>
        <r>
          <rPr>
            <b/>
            <sz val="9"/>
            <color indexed="81"/>
            <rFont val="Tahoma"/>
            <family val="2"/>
            <charset val="186"/>
          </rPr>
          <t>Modris:</t>
        </r>
        <r>
          <rPr>
            <sz val="9"/>
            <color indexed="81"/>
            <rFont val="Tahoma"/>
            <family val="2"/>
            <charset val="186"/>
          </rPr>
          <t xml:space="preserve">
Vērtībām jāatbilst MKN 222 1.pielikuma "Pārskats par ekonomiski pamatotiem ēkas norobežojošo konstrukciju un inženiersistēmu energoefektivitāti uzlabojošiem pasākumiem, kuru īstenošanas izmaksas ir rentablas paredzamajā (plānotajā) kalpošanas laikā" 2.5.punktā norādītajām esošās situācijas vērtībām .</t>
        </r>
      </text>
    </comment>
    <comment ref="I34" authorId="0" shapeId="0" xr:uid="{26901CCE-9969-44D7-BEBE-B21FF19720F4}">
      <text>
        <r>
          <rPr>
            <b/>
            <sz val="9"/>
            <color indexed="81"/>
            <rFont val="Tahoma"/>
            <family val="2"/>
            <charset val="186"/>
          </rPr>
          <t>Modris:</t>
        </r>
        <r>
          <rPr>
            <sz val="9"/>
            <color indexed="81"/>
            <rFont val="Tahoma"/>
            <family val="2"/>
            <charset val="186"/>
          </rPr>
          <t xml:space="preserve">
MKN 222 p.5.3.2. atbilstība</t>
        </r>
      </text>
    </comment>
    <comment ref="C38" authorId="0" shapeId="0" xr:uid="{8C7D14A8-656C-49BF-A11B-DCA0B4C95FED}">
      <text>
        <r>
          <rPr>
            <b/>
            <sz val="9"/>
            <color indexed="81"/>
            <rFont val="Tahoma"/>
            <family val="2"/>
            <charset val="186"/>
          </rPr>
          <t>Modris:</t>
        </r>
        <r>
          <rPr>
            <sz val="9"/>
            <color indexed="81"/>
            <rFont val="Tahoma"/>
            <family val="2"/>
            <charset val="186"/>
          </rPr>
          <t xml:space="preserve">
Vērtībām jāatbilst MKN 222 1.pielikuma "Pārskats par ekonomiski pamatotiem ēkas norobežojošo konstrukciju un inženiersistēmu energoefektivitāti uzlabojošiem pasākumiem, kuru īstenošanas izmaksas ir rentablas paredzamajā (plānotajā) kalpošanas laikā" 2.5.punktā norādītajām esošās situācijas vērtībām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C1" authorId="0" shapeId="0" xr:uid="{00000000-0006-0000-0500-000001000000}">
      <text>
        <r>
          <rPr>
            <b/>
            <sz val="9"/>
            <color indexed="81"/>
            <rFont val="Tahoma"/>
            <family val="2"/>
            <charset val="186"/>
          </rPr>
          <t>Kristīne Šmite:</t>
        </r>
        <r>
          <rPr>
            <sz val="9"/>
            <color indexed="81"/>
            <rFont val="Tahoma"/>
            <family val="2"/>
            <charset val="186"/>
          </rPr>
          <t xml:space="preserve">
Projekta iesnieguma 2.pielikumā "Finansēšanas plāns" norādītais kopējais ERAF</t>
        </r>
      </text>
    </comment>
    <comment ref="D1" authorId="0" shapeId="0" xr:uid="{00000000-0006-0000-0500-000002000000}">
      <text>
        <r>
          <rPr>
            <b/>
            <sz val="9"/>
            <color indexed="81"/>
            <rFont val="Tahoma"/>
            <family val="2"/>
            <charset val="186"/>
          </rPr>
          <t>Kristīne Šmite:</t>
        </r>
        <r>
          <rPr>
            <sz val="9"/>
            <color indexed="81"/>
            <rFont val="Tahoma"/>
            <family val="2"/>
            <charset val="186"/>
          </rPr>
          <t xml:space="preserve">
Pārskatā par ekonomiski pamatotiem energoefektivitāti uzlabojošiem pasākumiem (vai Pārskats par ekonomiski pamatotiem ēkas norobežojošo konstrukciju un inženiersistēmu energoefektivitāti uzlabojošiem pasākumiem, kuru īstenošanas izmaksas ir rentablas paredzamajā (plānotajā) kalpošanas laikā) norādīto:
"Kopējās primārās enerģijas novērtējums" = (Aprēķinātie rādītāji - sasniedzamie rādītāji) * m2
Vai Modra tabula
sheet "Primārā_CO2" šūna F:G6</t>
        </r>
      </text>
    </comment>
  </commentList>
</comments>
</file>

<file path=xl/sharedStrings.xml><?xml version="1.0" encoding="utf-8"?>
<sst xmlns="http://schemas.openxmlformats.org/spreadsheetml/2006/main" count="847" uniqueCount="387">
  <si>
    <t>Meteoroloģiskā stacija:</t>
  </si>
  <si>
    <t>°C</t>
  </si>
  <si>
    <t>Adrese:</t>
  </si>
  <si>
    <t>Perioda ilgums</t>
  </si>
  <si>
    <t>dienas</t>
  </si>
  <si>
    <t>m²</t>
  </si>
  <si>
    <t>Laukums</t>
  </si>
  <si>
    <t>Temperatūras starpība</t>
  </si>
  <si>
    <t>Siltuma pārnese ar pārvadi</t>
  </si>
  <si>
    <t xml:space="preserve"> W/(m²K)</t>
  </si>
  <si>
    <t>K</t>
  </si>
  <si>
    <t>h</t>
  </si>
  <si>
    <t>kWh gadā</t>
  </si>
  <si>
    <t>Termiskie tilti</t>
  </si>
  <si>
    <t xml:space="preserve"> </t>
  </si>
  <si>
    <t>Gaisa apmaiņas kārta</t>
  </si>
  <si>
    <t>Siltuma atgūšana</t>
  </si>
  <si>
    <t>Novietojums</t>
  </si>
  <si>
    <t>Samazinājuma faktors</t>
  </si>
  <si>
    <t>Ziemeļi</t>
  </si>
  <si>
    <t>Austrumi</t>
  </si>
  <si>
    <t>Dienvidi</t>
  </si>
  <si>
    <t>Rietumi</t>
  </si>
  <si>
    <t>Horizontāli</t>
  </si>
  <si>
    <t>Necaurspīdīgās norobežojošās konstrukcijas</t>
  </si>
  <si>
    <t>Apkures perioda ilgums</t>
  </si>
  <si>
    <t>h gadā</t>
  </si>
  <si>
    <t xml:space="preserve">atbilst ?  </t>
  </si>
  <si>
    <t>References platība:</t>
  </si>
  <si>
    <t>Ēkas energoefektivitātes minimālais pieļaujamais līmenis apkurei ≤</t>
  </si>
  <si>
    <t>*Atbilstoši Ministru kabineta 2021.gada 8. aprīļa noteikumiem Nr.222 "Ēku energoefektivitātes aprēķina metodes un ēku energosertifikācijas noteikumi"</t>
  </si>
  <si>
    <t>Siena</t>
  </si>
  <si>
    <t>Grīda</t>
  </si>
  <si>
    <t>Kadastra apzīmējums</t>
  </si>
  <si>
    <t>Apkure</t>
  </si>
  <si>
    <t>Sadzīves karstā ūdens 
sagatavošana</t>
  </si>
  <si>
    <t>Apgaismojums</t>
  </si>
  <si>
    <t>Dzesēšana</t>
  </si>
  <si>
    <t>Vides enerģija</t>
  </si>
  <si>
    <t>Energoresurss</t>
  </si>
  <si>
    <t>Siltumenerģija no siltuma piegādātāja, MWh</t>
  </si>
  <si>
    <t>Gads</t>
  </si>
  <si>
    <t>janv</t>
  </si>
  <si>
    <t>febr</t>
  </si>
  <si>
    <t>marts</t>
  </si>
  <si>
    <t>apr</t>
  </si>
  <si>
    <t>maijs</t>
  </si>
  <si>
    <t>jūn</t>
  </si>
  <si>
    <t>jūl</t>
  </si>
  <si>
    <t>aug</t>
  </si>
  <si>
    <t>sept</t>
  </si>
  <si>
    <t>okt</t>
  </si>
  <si>
    <t>nov</t>
  </si>
  <si>
    <t>dec</t>
  </si>
  <si>
    <t>Kopā</t>
  </si>
  <si>
    <t>Vidēji:</t>
  </si>
  <si>
    <t>Kurināmais uzskaitītajās mērvienībās</t>
  </si>
  <si>
    <t>Kurināmā veids,</t>
  </si>
  <si>
    <t>Apkures katla vidējais lietderības koeficients, kas noteikts pēc kurināmā zemākās siltumspējas</t>
  </si>
  <si>
    <t>Pārvades siltuma zudumi</t>
  </si>
  <si>
    <t>(%, ja apkures katls atrodas ārpus ēkas kondicionētās zonas robežas)</t>
  </si>
  <si>
    <t>Patēriņš uzskaitītajās mērvienībās</t>
  </si>
  <si>
    <t>Elektroenerģija, MWh</t>
  </si>
  <si>
    <t>Citi atsevišķi uzskaitītie dati</t>
  </si>
  <si>
    <t>(nosaukums un mērvienība)</t>
  </si>
  <si>
    <t>1.</t>
  </si>
  <si>
    <t>Aizpilda, ja ir atsevišķa uzskaite 1.–3. punktā minētajām sistēmām</t>
  </si>
  <si>
    <t>References platība</t>
  </si>
  <si>
    <t>Saules termālā</t>
  </si>
  <si>
    <t>kW</t>
  </si>
  <si>
    <t>m3</t>
  </si>
  <si>
    <t>Konversijas koeficients no</t>
  </si>
  <si>
    <t>uz</t>
  </si>
  <si>
    <t>Kurināmais, pārrēķināts uz MWh (bez pārvades siltuma zudumiem)</t>
  </si>
  <si>
    <t>Centralizētā siltumapgāde*</t>
  </si>
  <si>
    <t>Energonesējs</t>
  </si>
  <si>
    <t>Nr.p.k.</t>
  </si>
  <si>
    <t xml:space="preserve">NB! </t>
  </si>
  <si>
    <t>Projekta numurs</t>
  </si>
  <si>
    <t>Iesniedzējs</t>
  </si>
  <si>
    <t>ERAF
( F )</t>
  </si>
  <si>
    <t>Plānotais ikgadējais primārās enerģijas  samazinājums ēkās (kWh/gadā)
( E )</t>
  </si>
  <si>
    <t>Plānotais ikgadējais siltumnīcefekta gāzu emisiju  samazinājums  (CO2 ekvivalenta tonnas / gadā)
( G )</t>
  </si>
  <si>
    <t>Atjaunojamo energoresursu rādītājs ( R )
Rsilt + Rsol</t>
  </si>
  <si>
    <r>
      <t>Rsilt=1,</t>
    </r>
    <r>
      <rPr>
        <sz val="10"/>
        <color theme="1"/>
        <rFont val="Times New Roman"/>
        <family val="1"/>
        <charset val="186"/>
      </rPr>
      <t xml:space="preserve"> ja projektā plānota pāreja no fosilajiem energoresursiem uz AER siltumenerģijas nodrošināšanai, ieskaitot tehnoloģijas, kas patērē elektroenerģiju siltumapgādes nodrošināšanai;</t>
    </r>
    <r>
      <rPr>
        <b/>
        <sz val="10"/>
        <color theme="1"/>
        <rFont val="Times New Roman"/>
        <family val="1"/>
        <charset val="186"/>
      </rPr>
      <t xml:space="preserve">
Rsilt=0,</t>
    </r>
    <r>
      <rPr>
        <sz val="10"/>
        <color theme="1"/>
        <rFont val="Times New Roman"/>
        <family val="1"/>
        <charset val="186"/>
      </rPr>
      <t xml:space="preserve"> ja projektā nav plānota fosilo energoresursu aizstāšana ar AER.</t>
    </r>
  </si>
  <si>
    <r>
      <t>Rsol=1,</t>
    </r>
    <r>
      <rPr>
        <sz val="10"/>
        <color theme="1"/>
        <rFont val="Times New Roman"/>
        <family val="1"/>
        <charset val="186"/>
      </rPr>
      <t xml:space="preserve"> ja projektā plānota no atjaunojamiem energoresursiem ražotās elektroenerģijas vai siltumenerģijas papildjauda ≥20 kW;</t>
    </r>
    <r>
      <rPr>
        <b/>
        <sz val="10"/>
        <color theme="1"/>
        <rFont val="Times New Roman"/>
        <family val="1"/>
        <charset val="186"/>
      </rPr>
      <t xml:space="preserve">
Rsol=0, </t>
    </r>
    <r>
      <rPr>
        <sz val="10"/>
        <color theme="1"/>
        <rFont val="Times New Roman"/>
        <family val="1"/>
        <charset val="186"/>
      </rPr>
      <t>ja AER ražotā papildjauda ir mazāka par 20kW.</t>
    </r>
  </si>
  <si>
    <r>
      <t>Projekta efektivitāte ( K</t>
    </r>
    <r>
      <rPr>
        <b/>
        <vertAlign val="subscript"/>
        <sz val="12"/>
        <color theme="1"/>
        <rFont val="Times New Roman"/>
        <family val="1"/>
        <charset val="186"/>
      </rPr>
      <t>1</t>
    </r>
    <r>
      <rPr>
        <b/>
        <sz val="12"/>
        <color theme="1"/>
        <rFont val="Times New Roman"/>
        <family val="1"/>
        <charset val="186"/>
      </rPr>
      <t xml:space="preserve"> )
4/((F⁄E))+(15848)/((F⁄G))+R</t>
    </r>
  </si>
  <si>
    <r>
      <t>Projekta gatavība
(K</t>
    </r>
    <r>
      <rPr>
        <b/>
        <vertAlign val="subscript"/>
        <sz val="12"/>
        <color theme="1"/>
        <rFont val="Times New Roman"/>
        <family val="1"/>
        <charset val="186"/>
      </rPr>
      <t>2</t>
    </r>
    <r>
      <rPr>
        <b/>
        <sz val="12"/>
        <color theme="1"/>
        <rFont val="Times New Roman"/>
        <family val="1"/>
        <charset val="186"/>
      </rPr>
      <t xml:space="preserve">) 0 vai 0,5
</t>
    </r>
    <r>
      <rPr>
        <sz val="8"/>
        <color theme="1"/>
        <rFont val="Times New Roman"/>
        <family val="1"/>
        <charset val="186"/>
      </rPr>
      <t>ja visām projekta ietvaros plānotajām būvniecības darbībām ir veikta būvvaldes atzīme par projektēšanas nosacījumu izpildi un par visām būvniecības darbībām ir izsludināta iepirkuma procedūra</t>
    </r>
  </si>
  <si>
    <r>
      <t>Projekta ietekme uz horizontālo principu "Vienlīdzīgas iespējas" 
(K</t>
    </r>
    <r>
      <rPr>
        <b/>
        <vertAlign val="subscript"/>
        <sz val="12"/>
        <color theme="1"/>
        <rFont val="Times New Roman"/>
        <family val="1"/>
        <charset val="186"/>
      </rPr>
      <t>3</t>
    </r>
    <r>
      <rPr>
        <b/>
        <sz val="12"/>
        <color theme="1"/>
        <rFont val="Times New Roman"/>
        <family val="1"/>
        <charset val="186"/>
      </rPr>
      <t xml:space="preserve">) 0 vai 0,2
</t>
    </r>
    <r>
      <rPr>
        <sz val="8"/>
        <color theme="1"/>
        <rFont val="Times New Roman"/>
        <family val="1"/>
        <charset val="186"/>
      </rPr>
      <t>ja projektā ir iekļautas specifiskas darbības vienlīdzīgu iespēju un vides un informācijas piekļūstamības nodrošināšanai papildu būvnormatīvos noteiktajam</t>
    </r>
  </si>
  <si>
    <r>
      <t>Projekta ietekme uz horizontālo principu "Ilgtspējīga attīstība" 
(K</t>
    </r>
    <r>
      <rPr>
        <b/>
        <vertAlign val="subscript"/>
        <sz val="12"/>
        <color theme="1"/>
        <rFont val="Times New Roman"/>
        <family val="1"/>
        <charset val="186"/>
      </rPr>
      <t>4</t>
    </r>
    <r>
      <rPr>
        <b/>
        <sz val="12"/>
        <color theme="1"/>
        <rFont val="Times New Roman"/>
        <family val="1"/>
        <charset val="186"/>
      </rPr>
      <t xml:space="preserve">) 0 vai 0,2
</t>
    </r>
    <r>
      <rPr>
        <sz val="8"/>
        <color theme="1"/>
        <rFont val="Times New Roman"/>
        <family val="1"/>
        <charset val="186"/>
      </rPr>
      <t>ja vismaz vienā no projekta ietvaros īstenojamiem publiskajiem iepirkumiem plānots izmantot vai ir izmantoti zaļā publiskā iepirkuma principi</t>
    </r>
  </si>
  <si>
    <r>
      <t>Kopējais koeficients (K</t>
    </r>
    <r>
      <rPr>
        <b/>
        <vertAlign val="subscript"/>
        <sz val="12"/>
        <color theme="1"/>
        <rFont val="Times New Roman"/>
        <family val="1"/>
        <charset val="186"/>
      </rPr>
      <t>k</t>
    </r>
    <r>
      <rPr>
        <b/>
        <sz val="12"/>
        <color theme="1"/>
        <rFont val="Times New Roman"/>
        <family val="1"/>
        <charset val="186"/>
      </rPr>
      <t>) = K</t>
    </r>
    <r>
      <rPr>
        <b/>
        <vertAlign val="subscript"/>
        <sz val="12"/>
        <color theme="1"/>
        <rFont val="Times New Roman"/>
        <family val="1"/>
        <charset val="186"/>
      </rPr>
      <t>1</t>
    </r>
    <r>
      <rPr>
        <b/>
        <sz val="12"/>
        <color theme="1"/>
        <rFont val="Times New Roman"/>
        <family val="1"/>
        <charset val="186"/>
      </rPr>
      <t xml:space="preserve"> + K</t>
    </r>
    <r>
      <rPr>
        <b/>
        <vertAlign val="subscript"/>
        <sz val="12"/>
        <color theme="1"/>
        <rFont val="Times New Roman"/>
        <family val="1"/>
        <charset val="186"/>
      </rPr>
      <t>2</t>
    </r>
    <r>
      <rPr>
        <b/>
        <sz val="12"/>
        <color theme="1"/>
        <rFont val="Times New Roman"/>
        <family val="1"/>
        <charset val="186"/>
      </rPr>
      <t xml:space="preserve"> + K</t>
    </r>
    <r>
      <rPr>
        <b/>
        <vertAlign val="subscript"/>
        <sz val="12"/>
        <color theme="1"/>
        <rFont val="Times New Roman"/>
        <family val="1"/>
        <charset val="186"/>
      </rPr>
      <t>3</t>
    </r>
    <r>
      <rPr>
        <b/>
        <sz val="12"/>
        <color theme="1"/>
        <rFont val="Times New Roman"/>
        <family val="1"/>
        <charset val="186"/>
      </rPr>
      <t xml:space="preserve"> + K</t>
    </r>
    <r>
      <rPr>
        <b/>
        <vertAlign val="subscript"/>
        <sz val="12"/>
        <color theme="1"/>
        <rFont val="Times New Roman"/>
        <family val="1"/>
        <charset val="186"/>
      </rPr>
      <t>4</t>
    </r>
  </si>
  <si>
    <t>13.1.3.1/A/21/000</t>
  </si>
  <si>
    <t>Novada pašvaldība</t>
  </si>
  <si>
    <t>1.1. ar atjaunojamiem energoresursiem</t>
  </si>
  <si>
    <t>1.2. ar neatjaunojamiem energoresursiem</t>
  </si>
  <si>
    <t>2.1. ar atjaunojamiem energoresursiem</t>
  </si>
  <si>
    <t>2.2. ar neatjaunojamiem energoresursiem</t>
  </si>
  <si>
    <t>Cita informācija:</t>
  </si>
  <si>
    <t>eksperts norāda, kā ir iegūtas vērtības, – vai norādītas izmērītās vai aprēķinātās vērtības un sniedz skaidrojumu.</t>
  </si>
  <si>
    <t>kg</t>
  </si>
  <si>
    <t>Dīzeļdegviela</t>
  </si>
  <si>
    <t>kWh/kg</t>
  </si>
  <si>
    <t>Mazuts</t>
  </si>
  <si>
    <t>Sašķidrinātā naftas gāze</t>
  </si>
  <si>
    <t>Naftas kokss</t>
  </si>
  <si>
    <t>LVS EN ISO 52000-1, NA13b.tabula</t>
  </si>
  <si>
    <t>Kurināmais</t>
  </si>
  <si>
    <t>zemākā siltumspēja</t>
  </si>
  <si>
    <t>Ogles</t>
  </si>
  <si>
    <t>Kūdra</t>
  </si>
  <si>
    <t>Dabasgāze</t>
  </si>
  <si>
    <t>kWh/m3</t>
  </si>
  <si>
    <t>Malka</t>
  </si>
  <si>
    <t>Koksnes atlikumi</t>
  </si>
  <si>
    <t>kWh/ber.m3</t>
  </si>
  <si>
    <t>kWh/cieš.m3</t>
  </si>
  <si>
    <t>Kurināma šķelda</t>
  </si>
  <si>
    <t>Koksnes briketes</t>
  </si>
  <si>
    <t>Biodīzeļdegviela</t>
  </si>
  <si>
    <t>Koksnes granulas</t>
  </si>
  <si>
    <t>Bioetalons</t>
  </si>
  <si>
    <t>cieš.m3</t>
  </si>
  <si>
    <t>ber.m3</t>
  </si>
  <si>
    <t>, kurināmā zemākā siltumspēja*</t>
  </si>
  <si>
    <t>Piezīme. * LVS EN ISO 52000-1, NA13b.tabula</t>
  </si>
  <si>
    <r>
      <t>kWh/m</t>
    </r>
    <r>
      <rPr>
        <vertAlign val="superscript"/>
        <sz val="8"/>
        <rFont val="Times New Roman"/>
        <family val="1"/>
        <charset val="186"/>
      </rPr>
      <t>2</t>
    </r>
    <r>
      <rPr>
        <sz val="8"/>
        <rFont val="Times New Roman"/>
        <family val="1"/>
        <charset val="186"/>
      </rPr>
      <t xml:space="preserve"> gadā</t>
    </r>
  </si>
  <si>
    <t>Norobežojošā konstrukcija</t>
  </si>
  <si>
    <t>Kopējā siltuma pārnese ar pārvadi apkurei:</t>
  </si>
  <si>
    <t>Novērtējuma periods:</t>
  </si>
  <si>
    <t>Ventilācijas sistēma</t>
  </si>
  <si>
    <r>
      <t>m</t>
    </r>
    <r>
      <rPr>
        <vertAlign val="superscript"/>
        <sz val="8"/>
        <rFont val="Times New Roman"/>
        <family val="1"/>
        <charset val="186"/>
      </rPr>
      <t>3</t>
    </r>
  </si>
  <si>
    <t>References tilpums:</t>
  </si>
  <si>
    <t>Aprēķina tilpums</t>
  </si>
  <si>
    <t>%</t>
  </si>
  <si>
    <t>Kopējā siltuma pārnese ar ventilāciju apkurei:</t>
  </si>
  <si>
    <t>Siltuma pārnese ar ventilāciju</t>
  </si>
  <si>
    <t>Vidējā siltumcaurlaidība</t>
  </si>
  <si>
    <t>Caurspīdīgo konstrukciju laukums</t>
  </si>
  <si>
    <r>
      <t>m</t>
    </r>
    <r>
      <rPr>
        <vertAlign val="superscript"/>
        <sz val="8"/>
        <color theme="1"/>
        <rFont val="Times New Roman"/>
        <family val="1"/>
        <charset val="186"/>
      </rPr>
      <t>2</t>
    </r>
  </si>
  <si>
    <t>Jumts / pārsegums</t>
  </si>
  <si>
    <t>Tips Nr.1</t>
  </si>
  <si>
    <t>Tips Nr.2</t>
  </si>
  <si>
    <t>Tips Nr.3</t>
  </si>
  <si>
    <t>Tips Nr.4</t>
  </si>
  <si>
    <t>Durvis / vārti</t>
  </si>
  <si>
    <t>Stiklotās konstrukcijas
(Logi / vitrīnas / durvis / vārti)</t>
  </si>
  <si>
    <r>
      <rPr>
        <sz val="9"/>
        <rFont val="Times New Roman"/>
        <family val="1"/>
        <charset val="186"/>
      </rPr>
      <t xml:space="preserve">Garums, </t>
    </r>
    <r>
      <rPr>
        <sz val="8"/>
        <rFont val="Times New Roman"/>
        <family val="1"/>
        <charset val="186"/>
      </rPr>
      <t>m</t>
    </r>
  </si>
  <si>
    <t>W/(mK)</t>
  </si>
  <si>
    <t>Saules siltuma ieguvumi</t>
  </si>
  <si>
    <t>Kopējie saules siltuma ieguvumi apkurei:</t>
  </si>
  <si>
    <r>
      <t>W/m</t>
    </r>
    <r>
      <rPr>
        <vertAlign val="superscript"/>
        <sz val="8"/>
        <rFont val="Times New Roman"/>
        <family val="1"/>
        <charset val="186"/>
      </rPr>
      <t>2</t>
    </r>
  </si>
  <si>
    <t>Iekšējie siltuma ieguvumi</t>
  </si>
  <si>
    <t>Gada energoprasība apkurei:</t>
  </si>
  <si>
    <r>
      <rPr>
        <vertAlign val="superscript"/>
        <sz val="8"/>
        <rFont val="Times New Roman"/>
        <family val="1"/>
        <charset val="186"/>
      </rPr>
      <t>1</t>
    </r>
    <r>
      <rPr>
        <sz val="8"/>
        <rFont val="Times New Roman"/>
        <family val="1"/>
        <charset val="186"/>
      </rPr>
      <t>/h</t>
    </r>
  </si>
  <si>
    <t>Starojuma intensitāte periodā</t>
  </si>
  <si>
    <t>Stiklojuma vidējā g-vērtība</t>
  </si>
  <si>
    <r>
      <t>kWh/</t>
    </r>
    <r>
      <rPr>
        <b/>
        <vertAlign val="superscript"/>
        <sz val="8"/>
        <rFont val="Times New Roman"/>
        <family val="1"/>
        <charset val="186"/>
      </rPr>
      <t xml:space="preserve">2 </t>
    </r>
    <r>
      <rPr>
        <b/>
        <sz val="8"/>
        <rFont val="Times New Roman"/>
        <family val="1"/>
        <charset val="186"/>
      </rPr>
      <t>gadā</t>
    </r>
  </si>
  <si>
    <t>Pārbaude:</t>
  </si>
  <si>
    <r>
      <t>Primārās enerģijas koeficients neatjaunojamo energoresursu daļai, f</t>
    </r>
    <r>
      <rPr>
        <vertAlign val="subscript"/>
        <sz val="8"/>
        <rFont val="Times New Roman"/>
        <family val="1"/>
        <charset val="186"/>
      </rPr>
      <t>Pnren</t>
    </r>
  </si>
  <si>
    <r>
      <t>Primārās enerģijas koeficients atjaunojamo energoresursu daļai, f</t>
    </r>
    <r>
      <rPr>
        <vertAlign val="subscript"/>
        <sz val="8"/>
        <rFont val="Times New Roman"/>
        <family val="1"/>
        <charset val="186"/>
      </rPr>
      <t>Pren</t>
    </r>
  </si>
  <si>
    <r>
      <t>CO</t>
    </r>
    <r>
      <rPr>
        <vertAlign val="subscript"/>
        <sz val="8"/>
        <rFont val="Times New Roman"/>
        <family val="1"/>
        <charset val="186"/>
      </rPr>
      <t>2</t>
    </r>
    <r>
      <rPr>
        <sz val="8"/>
        <rFont val="Times New Roman"/>
        <family val="1"/>
        <charset val="186"/>
      </rPr>
      <t xml:space="preserve"> emisiju faktors</t>
    </r>
  </si>
  <si>
    <r>
      <t>CO</t>
    </r>
    <r>
      <rPr>
        <b/>
        <vertAlign val="subscript"/>
        <sz val="8"/>
        <rFont val="Times New Roman"/>
        <family val="1"/>
        <charset val="186"/>
      </rPr>
      <t>2</t>
    </r>
    <r>
      <rPr>
        <b/>
        <sz val="8"/>
        <rFont val="Times New Roman"/>
        <family val="1"/>
        <charset val="186"/>
      </rPr>
      <t xml:space="preserve"> emisiju novērtējums</t>
    </r>
  </si>
  <si>
    <t>2.</t>
  </si>
  <si>
    <t>vidēji MWh gadā</t>
  </si>
  <si>
    <t>šūnas, kuras jāaizpilda, ja nepieciešams</t>
  </si>
  <si>
    <t>Kopā:</t>
  </si>
  <si>
    <t>ne</t>
  </si>
  <si>
    <t>atj</t>
  </si>
  <si>
    <t>co2</t>
  </si>
  <si>
    <t>izvēlnes šūnas</t>
  </si>
  <si>
    <t>https://likumi.lv/ta/id/296651-siltumnicefekta-gazu-emisiju-aprekina-metodika</t>
  </si>
  <si>
    <t>* izmantotie faktori atbilstoši Ministru kabineta 2018. gada 8. aprīļa noteikumiem Nr.222 "Ēku energoefektivitātes aprēķina metodes un ēku energosertifikācijas noteikumi" 6.pielikuma prasībām.</t>
  </si>
  <si>
    <t xml:space="preserve">Atbilst minimālajam sasniedzmajam kritērijam (F/E)?  </t>
  </si>
  <si>
    <r>
      <t>f</t>
    </r>
    <r>
      <rPr>
        <vertAlign val="subscript"/>
        <sz val="11"/>
        <rFont val="Times New Roman"/>
        <family val="1"/>
        <charset val="186"/>
      </rPr>
      <t>Pnren</t>
    </r>
  </si>
  <si>
    <r>
      <t>f</t>
    </r>
    <r>
      <rPr>
        <vertAlign val="subscript"/>
        <sz val="11"/>
        <rFont val="Times New Roman"/>
        <family val="1"/>
        <charset val="186"/>
      </rPr>
      <t>Pren</t>
    </r>
  </si>
  <si>
    <r>
      <t>f</t>
    </r>
    <r>
      <rPr>
        <vertAlign val="subscript"/>
        <sz val="11"/>
        <rFont val="Times New Roman"/>
        <family val="1"/>
        <charset val="186"/>
      </rPr>
      <t>Ptot</t>
    </r>
  </si>
  <si>
    <r>
      <t xml:space="preserve">saražotā siltumenerģija </t>
    </r>
    <r>
      <rPr>
        <b/>
        <sz val="11"/>
        <rFont val="Times New Roman"/>
        <family val="1"/>
        <charset val="186"/>
      </rPr>
      <t>koģenerācijas režīmā:</t>
    </r>
  </si>
  <si>
    <r>
      <t xml:space="preserve">saražotā siltumenerģija </t>
    </r>
    <r>
      <rPr>
        <b/>
        <sz val="11"/>
        <rFont val="Times New Roman"/>
        <family val="1"/>
        <charset val="186"/>
      </rPr>
      <t>bez koģenerācijas</t>
    </r>
    <r>
      <rPr>
        <sz val="11"/>
        <rFont val="Times New Roman"/>
        <family val="1"/>
        <charset val="186"/>
      </rPr>
      <t>:</t>
    </r>
  </si>
  <si>
    <r>
      <t>f</t>
    </r>
    <r>
      <rPr>
        <vertAlign val="subscript"/>
        <sz val="11"/>
        <rFont val="Times New Roman"/>
        <family val="1"/>
        <charset val="186"/>
      </rPr>
      <t>Pnren</t>
    </r>
    <r>
      <rPr>
        <sz val="10"/>
        <rFont val="Times New Roman"/>
        <family val="1"/>
        <charset val="186"/>
      </rPr>
      <t>, f</t>
    </r>
    <r>
      <rPr>
        <vertAlign val="subscript"/>
        <sz val="10"/>
        <rFont val="Times New Roman"/>
        <family val="1"/>
        <charset val="186"/>
      </rPr>
      <t>Pren</t>
    </r>
    <r>
      <rPr>
        <sz val="10"/>
        <rFont val="Times New Roman"/>
        <family val="1"/>
        <charset val="186"/>
      </rPr>
      <t xml:space="preserve">, </t>
    </r>
    <r>
      <rPr>
        <b/>
        <sz val="10"/>
        <rFont val="Times New Roman"/>
        <family val="1"/>
        <charset val="186"/>
      </rPr>
      <t>f</t>
    </r>
    <r>
      <rPr>
        <b/>
        <vertAlign val="subscript"/>
        <sz val="10"/>
        <rFont val="Times New Roman"/>
        <family val="1"/>
        <charset val="186"/>
      </rPr>
      <t>Ptot</t>
    </r>
    <r>
      <rPr>
        <i/>
        <sz val="10"/>
        <rFont val="Times New Roman"/>
        <family val="1"/>
        <charset val="186"/>
      </rPr>
      <t>–</t>
    </r>
    <r>
      <rPr>
        <sz val="10"/>
        <rFont val="Times New Roman"/>
        <family val="1"/>
        <charset val="186"/>
      </rPr>
      <t> centralizētās siltumapgādes primārās enerģijas faktori:</t>
    </r>
  </si>
  <si>
    <r>
      <t>CO</t>
    </r>
    <r>
      <rPr>
        <vertAlign val="subscript"/>
        <sz val="11"/>
        <rFont val="Times New Roman"/>
        <family val="1"/>
        <charset val="186"/>
      </rPr>
      <t xml:space="preserve">2 </t>
    </r>
    <r>
      <rPr>
        <sz val="11"/>
        <rFont val="Times New Roman"/>
        <family val="1"/>
        <charset val="186"/>
      </rPr>
      <t>faktora vērtība</t>
    </r>
  </si>
  <si>
    <t>Pārbaudes aprēķins</t>
  </si>
  <si>
    <t>(norāda pārrēķina koeficientu, piemēram, no berama m3 uz cieš.m3. MK Nr.42 2.pielikuma 3.tabula.)</t>
  </si>
  <si>
    <r>
      <t>CO</t>
    </r>
    <r>
      <rPr>
        <vertAlign val="subscript"/>
        <sz val="11"/>
        <rFont val="Times New Roman"/>
        <family val="1"/>
        <charset val="186"/>
      </rPr>
      <t>2</t>
    </r>
    <r>
      <rPr>
        <sz val="11"/>
        <rFont val="Times New Roman"/>
        <family val="1"/>
        <charset val="186"/>
      </rPr>
      <t xml:space="preserve"> emisijas faktors siltumenerģijai, ko aprēķina centralizētās siltumapgādes sistēmas operators, lokālās siltumapgādes sistēmas operators vai individuālās siltumapgādes sistēmas lietotājs,
 t CO</t>
    </r>
    <r>
      <rPr>
        <vertAlign val="subscript"/>
        <sz val="11"/>
        <rFont val="Times New Roman"/>
        <family val="1"/>
        <charset val="186"/>
      </rPr>
      <t>2</t>
    </r>
    <r>
      <rPr>
        <sz val="11"/>
        <rFont val="Times New Roman"/>
        <family val="1"/>
        <charset val="186"/>
      </rPr>
      <t xml:space="preserve"> / MWh</t>
    </r>
  </si>
  <si>
    <t>Pakalpojums</t>
  </si>
  <si>
    <t>Sezonālais
lietderības
koeficients</t>
  </si>
  <si>
    <t>Energo-prasība</t>
  </si>
  <si>
    <r>
      <t>Primārā neatjaunojamā
enerģija
E</t>
    </r>
    <r>
      <rPr>
        <b/>
        <vertAlign val="subscript"/>
        <sz val="8"/>
        <rFont val="Times New Roman"/>
        <family val="1"/>
        <charset val="186"/>
      </rPr>
      <t>Pnren</t>
    </r>
  </si>
  <si>
    <r>
      <t>Primārā
kopējā 
enerģija
E</t>
    </r>
    <r>
      <rPr>
        <b/>
        <vertAlign val="subscript"/>
        <sz val="8"/>
        <rFont val="Times New Roman"/>
        <family val="1"/>
        <charset val="186"/>
      </rPr>
      <t>Ptot</t>
    </r>
  </si>
  <si>
    <r>
      <t>Svērtā energoefektivitāte, E</t>
    </r>
    <r>
      <rPr>
        <b/>
        <vertAlign val="subscript"/>
        <sz val="11"/>
        <rFont val="Times New Roman"/>
        <family val="1"/>
        <charset val="186"/>
      </rPr>
      <t>we</t>
    </r>
  </si>
  <si>
    <t>Elektroenerģija, PV</t>
  </si>
  <si>
    <t>Elektroenerģija no tīkla</t>
  </si>
  <si>
    <t>kg CO2//kWh</t>
  </si>
  <si>
    <r>
      <t>t CO</t>
    </r>
    <r>
      <rPr>
        <vertAlign val="subscript"/>
        <sz val="12"/>
        <color theme="1"/>
        <rFont val="Times New Roman"/>
        <family val="1"/>
        <charset val="186"/>
      </rPr>
      <t>2</t>
    </r>
    <r>
      <rPr>
        <sz val="12"/>
        <color theme="1"/>
        <rFont val="Times New Roman"/>
        <family val="1"/>
        <charset val="186"/>
      </rPr>
      <t xml:space="preserve"> ekviv. gadā</t>
    </r>
  </si>
  <si>
    <t>siltumenerģija:</t>
  </si>
  <si>
    <t>elektroenerģija:</t>
  </si>
  <si>
    <r>
      <t>Primārā
atjaunojamā
enerģija
E</t>
    </r>
    <r>
      <rPr>
        <b/>
        <vertAlign val="subscript"/>
        <sz val="8"/>
        <rFont val="Times New Roman"/>
        <family val="1"/>
        <charset val="186"/>
      </rPr>
      <t>pren</t>
    </r>
  </si>
  <si>
    <r>
      <t>Primārā
atjaunojamā
enerģija
E</t>
    </r>
    <r>
      <rPr>
        <b/>
        <vertAlign val="subscript"/>
        <sz val="8"/>
        <rFont val="Times New Roman"/>
        <family val="1"/>
        <charset val="186"/>
      </rPr>
      <t>Pren</t>
    </r>
  </si>
  <si>
    <t>piegādātā
enerģija</t>
  </si>
  <si>
    <t>AER izmantojošu enerģiju ražojošu iekārtu papildjauda :</t>
  </si>
  <si>
    <t>ar AER izmantojošu enerģiju ražojošu iekārtu papildjaudu saražotā enerģija :</t>
  </si>
  <si>
    <t>KOPĀ:</t>
  </si>
  <si>
    <t>pieprasītā
enerģija</t>
  </si>
  <si>
    <t>Energoresurss pakalpojumam</t>
  </si>
  <si>
    <r>
      <t xml:space="preserve">*Energoresursus norāda </t>
    </r>
    <r>
      <rPr>
        <b/>
        <sz val="12"/>
        <color theme="1"/>
        <rFont val="Times New Roman"/>
        <family val="1"/>
        <charset val="186"/>
      </rPr>
      <t>vismaz par pēdējiem trijiem kalendārajiem gadiem</t>
    </r>
    <r>
      <rPr>
        <sz val="12"/>
        <color theme="1"/>
        <rFont val="Times New Roman"/>
        <family val="1"/>
        <charset val="186"/>
      </rPr>
      <t>.</t>
    </r>
  </si>
  <si>
    <t>Āra vides vidējā temperatūra periodā:</t>
  </si>
  <si>
    <t>Iekštelpu vidējā temperatūra periodā:</t>
  </si>
  <si>
    <t>Dabiskā</t>
  </si>
  <si>
    <t>Mehāniskā</t>
  </si>
  <si>
    <t>Infiltrācija</t>
  </si>
  <si>
    <t>Īpatnējā iekšējo siltuma ieguvumu jauda**</t>
  </si>
  <si>
    <t>Mēnesis</t>
  </si>
  <si>
    <t>Gadā</t>
  </si>
  <si>
    <t>ĒEE lietojums, ventilācija, kWh</t>
  </si>
  <si>
    <t>ĒEE lietojums, apgaismojums, kWh</t>
  </si>
  <si>
    <t>PV saražotā elektroenerģija, kWh</t>
  </si>
  <si>
    <t>Tīklā eksportētā elektroenerģija, kWh</t>
  </si>
  <si>
    <t>No tīkla piegādātā elektroenerģija, kWh</t>
  </si>
  <si>
    <t>Klimatiskie dati:</t>
  </si>
  <si>
    <t>Gadā kopā</t>
  </si>
  <si>
    <r>
      <t>T</t>
    </r>
    <r>
      <rPr>
        <vertAlign val="subscript"/>
        <sz val="11"/>
        <rFont val="Arial"/>
        <family val="2"/>
      </rPr>
      <t>sky</t>
    </r>
  </si>
  <si>
    <t>Zemes temperatūra</t>
  </si>
  <si>
    <t>Ainaži</t>
  </si>
  <si>
    <t>Alūksne</t>
  </si>
  <si>
    <t>Bauska</t>
  </si>
  <si>
    <t>Daugavpils</t>
  </si>
  <si>
    <t>Dobele</t>
  </si>
  <si>
    <t>Gulbene</t>
  </si>
  <si>
    <t>Jelgava</t>
  </si>
  <si>
    <t>Kolka</t>
  </si>
  <si>
    <t>Liepāja</t>
  </si>
  <si>
    <t>Mērsrags</t>
  </si>
  <si>
    <t>Pāvilosta</t>
  </si>
  <si>
    <t>Priekuļi</t>
  </si>
  <si>
    <t>Rēzekne</t>
  </si>
  <si>
    <t>Rīga</t>
  </si>
  <si>
    <t>Rūjiena</t>
  </si>
  <si>
    <t>Saldus</t>
  </si>
  <si>
    <t>Skrīveri</t>
  </si>
  <si>
    <t>Skulte</t>
  </si>
  <si>
    <t>Stende</t>
  </si>
  <si>
    <t>Ventspils</t>
  </si>
  <si>
    <t>Zīlāni</t>
  </si>
  <si>
    <t>Zosēni</t>
  </si>
  <si>
    <r>
      <t>Starojums, Horizontāli, kWh/m</t>
    </r>
    <r>
      <rPr>
        <vertAlign val="superscript"/>
        <sz val="11"/>
        <rFont val="Arial"/>
        <family val="2"/>
        <charset val="186"/>
      </rPr>
      <t>2</t>
    </r>
  </si>
  <si>
    <t>zudumi vai papildus
enerģija</t>
  </si>
  <si>
    <t>ĒEE el.en. lietojums, apkure, kWh</t>
  </si>
  <si>
    <t>Piegādātās un eksportētās elektroenerģijas komponenšu aprēķināšana</t>
  </si>
  <si>
    <r>
      <t>(norādāma mērvienību, piemēram., kg, m</t>
    </r>
    <r>
      <rPr>
        <vertAlign val="superscript"/>
        <sz val="10"/>
        <rFont val="Times New Roman"/>
        <family val="1"/>
        <charset val="186"/>
      </rPr>
      <t>3</t>
    </r>
    <r>
      <rPr>
        <sz val="10"/>
        <rFont val="Times New Roman"/>
        <family val="1"/>
        <charset val="186"/>
      </rPr>
      <t>, l)</t>
    </r>
  </si>
  <si>
    <r>
      <t xml:space="preserve">Dokumenta 1.lapu - 6.lapu </t>
    </r>
    <r>
      <rPr>
        <b/>
        <u/>
        <sz val="11"/>
        <color rgb="FFFF0000"/>
        <rFont val="Times New Roman"/>
        <family val="1"/>
        <charset val="186"/>
      </rPr>
      <t>secīgi</t>
    </r>
    <r>
      <rPr>
        <sz val="11"/>
        <color rgb="FFFF0000"/>
        <rFont val="Times New Roman"/>
        <family val="1"/>
        <charset val="186"/>
      </rPr>
      <t xml:space="preserve"> aizpilda neatkarīgs eksperts ēku energoefektivitātes jomā</t>
    </r>
  </si>
  <si>
    <t>Dokumenta 7.lapu aizpilda projekta iesniedzējs</t>
  </si>
  <si>
    <t>Janv</t>
  </si>
  <si>
    <t>Febr</t>
  </si>
  <si>
    <t>Marts</t>
  </si>
  <si>
    <t>Apr</t>
  </si>
  <si>
    <t>Maijs</t>
  </si>
  <si>
    <t>Jūn</t>
  </si>
  <si>
    <t>Jūl</t>
  </si>
  <si>
    <t>Aug</t>
  </si>
  <si>
    <t>Sept</t>
  </si>
  <si>
    <t>Okt</t>
  </si>
  <si>
    <t>Nov</t>
  </si>
  <si>
    <t>Dec</t>
  </si>
  <si>
    <t>kWh</t>
  </si>
  <si>
    <t>kWh/m²</t>
  </si>
  <si>
    <t>Īpatnējā energoprasība apkurei</t>
  </si>
  <si>
    <r>
      <t>Vidējā temperatūra āra vidē, θ</t>
    </r>
    <r>
      <rPr>
        <vertAlign val="subscript"/>
        <sz val="10"/>
        <rFont val="Times New Roman"/>
        <family val="1"/>
        <charset val="186"/>
      </rPr>
      <t>e;a;m</t>
    </r>
  </si>
  <si>
    <r>
      <t>kWh/m</t>
    </r>
    <r>
      <rPr>
        <vertAlign val="superscript"/>
        <sz val="10"/>
        <rFont val="Times New Roman"/>
        <family val="1"/>
        <charset val="186"/>
      </rPr>
      <t>2</t>
    </r>
  </si>
  <si>
    <r>
      <t>Siltuma pārnese ar pārvadi, Q</t>
    </r>
    <r>
      <rPr>
        <vertAlign val="subscript"/>
        <sz val="10"/>
        <rFont val="Times New Roman"/>
        <family val="1"/>
        <charset val="186"/>
      </rPr>
      <t>tr</t>
    </r>
  </si>
  <si>
    <r>
      <t>Siltuma pārnese ar ventilāciju, Q</t>
    </r>
    <r>
      <rPr>
        <vertAlign val="subscript"/>
        <sz val="10"/>
        <rFont val="Times New Roman"/>
        <family val="1"/>
        <charset val="186"/>
      </rPr>
      <t>ve</t>
    </r>
  </si>
  <si>
    <r>
      <t>Kopējā siltuma pārnese, Q</t>
    </r>
    <r>
      <rPr>
        <vertAlign val="subscript"/>
        <sz val="10"/>
        <rFont val="Times New Roman"/>
        <family val="1"/>
        <charset val="186"/>
      </rPr>
      <t>ht</t>
    </r>
  </si>
  <si>
    <r>
      <t>Saules siltuma ieguvumi, Q</t>
    </r>
    <r>
      <rPr>
        <vertAlign val="subscript"/>
        <sz val="10"/>
        <rFont val="Times New Roman"/>
        <family val="1"/>
        <charset val="186"/>
      </rPr>
      <t>sol</t>
    </r>
  </si>
  <si>
    <r>
      <t>Iekšējie siltuma ieguvumi, Q</t>
    </r>
    <r>
      <rPr>
        <vertAlign val="subscript"/>
        <sz val="10"/>
        <rFont val="Times New Roman"/>
        <family val="1"/>
        <charset val="186"/>
      </rPr>
      <t>int</t>
    </r>
  </si>
  <si>
    <r>
      <t>Kopējie siltuma ieguvumi, Q</t>
    </r>
    <r>
      <rPr>
        <vertAlign val="subscript"/>
        <sz val="10"/>
        <rFont val="Times New Roman"/>
        <family val="1"/>
        <charset val="186"/>
      </rPr>
      <t>gn</t>
    </r>
  </si>
  <si>
    <r>
      <t>Siltuma izmantošanas faktors, η</t>
    </r>
    <r>
      <rPr>
        <vertAlign val="subscript"/>
        <sz val="8.5"/>
        <rFont val="Times New Roman"/>
        <family val="1"/>
        <charset val="186"/>
      </rPr>
      <t>H;gn</t>
    </r>
  </si>
  <si>
    <r>
      <t>Energoprasība apkurei, Q</t>
    </r>
    <r>
      <rPr>
        <vertAlign val="subscript"/>
        <sz val="10"/>
        <rFont val="Times New Roman"/>
        <family val="1"/>
        <charset val="186"/>
      </rPr>
      <t>H;nd</t>
    </r>
  </si>
  <si>
    <r>
      <t xml:space="preserve">Primārās </t>
    </r>
    <r>
      <rPr>
        <b/>
        <sz val="10"/>
        <color theme="1"/>
        <rFont val="Times New Roman"/>
        <family val="1"/>
        <charset val="186"/>
      </rPr>
      <t>KOPĒJĀS</t>
    </r>
    <r>
      <rPr>
        <sz val="10"/>
        <color theme="1"/>
        <rFont val="Times New Roman"/>
        <family val="1"/>
        <charset val="186"/>
      </rPr>
      <t xml:space="preserve"> enerģijas gada patēriņa samazinājums:</t>
    </r>
  </si>
  <si>
    <t>Siltumnīcefekta (ogļskābo) gāzu samazinājums:</t>
  </si>
  <si>
    <t>Saules starojuma intensitāte, horizontāli</t>
  </si>
  <si>
    <t>*ISO 52000 p.12.1. (ISO 52016 p.7.1.2.2.2.)</t>
  </si>
  <si>
    <t>1. Energoresursu patēriņa uzskaite*</t>
  </si>
  <si>
    <t>1.1.</t>
  </si>
  <si>
    <t>1.2.1.</t>
  </si>
  <si>
    <t>1.2.2.</t>
  </si>
  <si>
    <t>1.3.</t>
  </si>
  <si>
    <t>1.4.</t>
  </si>
  <si>
    <r>
      <t xml:space="preserve">2. Ēkas energoprasības novērtējums apkurei aprēķina periodā* </t>
    </r>
    <r>
      <rPr>
        <b/>
        <i/>
        <sz val="12"/>
        <rFont val="Times New Roman"/>
        <family val="1"/>
        <charset val="186"/>
      </rPr>
      <t>(esošā situācija)</t>
    </r>
  </si>
  <si>
    <t>2.1. Siltuma pārnese ar pārvadi</t>
  </si>
  <si>
    <t>2.2. Siltuma pārnese ar ventilāciju:</t>
  </si>
  <si>
    <t>2.3. Saules siltuma ieguvumi caur caurspīdīgām un necaurspīdīgām norobežojošajām konstrukcijām:</t>
  </si>
  <si>
    <t>2.4. Iekšējie siltuma ieguvumi:</t>
  </si>
  <si>
    <t>2.5. Iekšējo siltuma ieguvumu izmantošanas koeficients</t>
  </si>
  <si>
    <t>2.6.</t>
  </si>
  <si>
    <r>
      <t xml:space="preserve">3. Ēkas energoprasības novērtējums apkurei aprēķina periodā* </t>
    </r>
    <r>
      <rPr>
        <b/>
        <i/>
        <sz val="12"/>
        <rFont val="Times New Roman"/>
        <family val="1"/>
        <charset val="186"/>
      </rPr>
      <t>(plānotā situācija)</t>
    </r>
  </si>
  <si>
    <t>3.1. Siltuma pārnese ar pārvadi</t>
  </si>
  <si>
    <t>3.2. Siltuma pārnese ar ventilāciju:</t>
  </si>
  <si>
    <t>3.3. Saules siltuma ieguvumi caur caurspīdīgām un necaurspīdīgām norobežojošajām konstrukcijām:</t>
  </si>
  <si>
    <t>3.4. Iekšējie siltuma ieguvumi:</t>
  </si>
  <si>
    <t>3.5. Iekšējo siltuma ieguvumu izmantošanas koeficients</t>
  </si>
  <si>
    <t>3.6.</t>
  </si>
  <si>
    <t>4.1.</t>
  </si>
  <si>
    <t>3.1.1.</t>
  </si>
  <si>
    <t>3.1.2.</t>
  </si>
  <si>
    <t>3.1.3.</t>
  </si>
  <si>
    <t>3.1.4.</t>
  </si>
  <si>
    <t>3.1.5.</t>
  </si>
  <si>
    <t>3.1.6.</t>
  </si>
  <si>
    <t>3.1.7.</t>
  </si>
  <si>
    <t>3.1.8.</t>
  </si>
  <si>
    <t>3.1.9.</t>
  </si>
  <si>
    <t>3.1.10.</t>
  </si>
  <si>
    <t>3.1.11.</t>
  </si>
  <si>
    <t>3.2.1.</t>
  </si>
  <si>
    <t>3.2.2.</t>
  </si>
  <si>
    <t>3.2.3.</t>
  </si>
  <si>
    <t>3.3.1.</t>
  </si>
  <si>
    <t>3.3.2.</t>
  </si>
  <si>
    <t>3.3.3.</t>
  </si>
  <si>
    <t>3.3.4.</t>
  </si>
  <si>
    <t>3.3.5.</t>
  </si>
  <si>
    <t>3.3.6.</t>
  </si>
  <si>
    <t>2.1.1.</t>
  </si>
  <si>
    <t>2.1.2.</t>
  </si>
  <si>
    <t>2.1.3.</t>
  </si>
  <si>
    <t>2.1.4.</t>
  </si>
  <si>
    <t>2.1.5.</t>
  </si>
  <si>
    <t>2.1.6.</t>
  </si>
  <si>
    <t>2.1.7.</t>
  </si>
  <si>
    <t>2.1.8.</t>
  </si>
  <si>
    <t>2.1.9.</t>
  </si>
  <si>
    <t>2.1.10.</t>
  </si>
  <si>
    <t>2.1.11.</t>
  </si>
  <si>
    <t>2.2.1.</t>
  </si>
  <si>
    <t>2.2.2.</t>
  </si>
  <si>
    <t>2.2.3.</t>
  </si>
  <si>
    <t>2.3.1.</t>
  </si>
  <si>
    <t>2.3.2.</t>
  </si>
  <si>
    <t>2.3.3.</t>
  </si>
  <si>
    <t>2.3.4.</t>
  </si>
  <si>
    <t>2.3.5.</t>
  </si>
  <si>
    <t>2.3.6.</t>
  </si>
  <si>
    <t>4.2.</t>
  </si>
  <si>
    <t>4.1.1.</t>
  </si>
  <si>
    <t>4.1.2.</t>
  </si>
  <si>
    <t>4.1.3.</t>
  </si>
  <si>
    <t>4.1.4.</t>
  </si>
  <si>
    <t>4.1.5.</t>
  </si>
  <si>
    <t>4.1.6.</t>
  </si>
  <si>
    <t>4.1.7.</t>
  </si>
  <si>
    <t>4.1.8.</t>
  </si>
  <si>
    <t>4.1.9.</t>
  </si>
  <si>
    <t>4.1.10.</t>
  </si>
  <si>
    <t>4.1.11.</t>
  </si>
  <si>
    <t>Ievaddati un izejas dati</t>
  </si>
  <si>
    <t>Esošās situācijas energoprasība apkurei</t>
  </si>
  <si>
    <t>Plānotās situācijas energoprasība apkurei</t>
  </si>
  <si>
    <t>4.2.3.</t>
  </si>
  <si>
    <t>4.2.4.</t>
  </si>
  <si>
    <t>4.2.5.</t>
  </si>
  <si>
    <t>4.2.6.</t>
  </si>
  <si>
    <t>4.2.7.</t>
  </si>
  <si>
    <t>4.2.8.</t>
  </si>
  <si>
    <t>4.2.9.</t>
  </si>
  <si>
    <t>4.2.10.</t>
  </si>
  <si>
    <t>4.2.11.</t>
  </si>
  <si>
    <t>4. Ziņojums par ēkas energoprasības novērtējumu apkurei *</t>
  </si>
  <si>
    <r>
      <rPr>
        <b/>
        <sz val="14"/>
        <color theme="1"/>
        <rFont val="Times New Roman"/>
        <family val="1"/>
        <charset val="186"/>
      </rPr>
      <t xml:space="preserve">5. Ziņojums par kopējo ēkas energoefektivitāti </t>
    </r>
    <r>
      <rPr>
        <b/>
        <sz val="10"/>
        <color theme="1"/>
        <rFont val="Times New Roman"/>
        <family val="1"/>
        <charset val="186"/>
      </rPr>
      <t>( ISO 52000-1:2017)</t>
    </r>
  </si>
  <si>
    <t>5.1. Esošā situācija</t>
  </si>
  <si>
    <t>5.2. Plānotā situācija</t>
  </si>
  <si>
    <t>* Atbilstoši MK noteikumu Nr. 222, 6.pielikuma 15.punktam "Siltumenerģija no centralizētās siltumapgādes sistēmas, no konkrēta piegādātāja", kur primārās kopējās enerģijas novērtējumā izmanto konkrētā piegādātāja kurināmā patēriņa primārās enerģijas faktorus, CO2 emisiju novērtējumā izmanto konkrētā piegādātāja sniegto informāciju (MK noteikumu Nr.42 "Siltumnīcefekta gāzu emisiju aprēķina metodika" 12.1.apakšpunkts). Detalizēts novērtējums jāveic lapā "6.lapa_Centralizētā"</t>
  </si>
  <si>
    <t>6. Siltumenerģija no centralizētās siltumapgādes sistēmas, no konkrēta piegādātāja</t>
  </si>
  <si>
    <t>6.1. Aprēķinātais primārās enerģijas faktors</t>
  </si>
  <si>
    <r>
      <t>6.2. Aprēķinātais CO</t>
    </r>
    <r>
      <rPr>
        <b/>
        <vertAlign val="subscript"/>
        <sz val="11"/>
        <rFont val="Times New Roman"/>
        <family val="1"/>
        <charset val="186"/>
      </rPr>
      <t>2</t>
    </r>
    <r>
      <rPr>
        <b/>
        <sz val="11"/>
        <rFont val="Times New Roman"/>
        <family val="1"/>
        <charset val="186"/>
      </rPr>
      <t xml:space="preserve"> emisijas faktors*</t>
    </r>
  </si>
  <si>
    <t>Grīda/sienas perimetrs</t>
  </si>
  <si>
    <t>kopā aprēķinātā:</t>
  </si>
  <si>
    <t>kopā izmērītā:</t>
  </si>
  <si>
    <t>Starpība</t>
  </si>
  <si>
    <t>N/A</t>
  </si>
  <si>
    <r>
      <t>m</t>
    </r>
    <r>
      <rPr>
        <vertAlign val="superscript"/>
        <sz val="12"/>
        <color theme="1"/>
        <rFont val="Times New Roman"/>
        <family val="1"/>
        <charset val="186"/>
      </rPr>
      <t>2</t>
    </r>
  </si>
  <si>
    <t>Ventilācija</t>
  </si>
  <si>
    <t xml:space="preserve">Sadzīves karstais ūdens 
</t>
  </si>
  <si>
    <r>
      <t>kg CO</t>
    </r>
    <r>
      <rPr>
        <b/>
        <vertAlign val="subscript"/>
        <sz val="8"/>
        <rFont val="Times New Roman"/>
        <family val="1"/>
        <charset val="186"/>
      </rPr>
      <t>2</t>
    </r>
  </si>
  <si>
    <t>ĒEE el.en. lietojums, SKŪ, kWh</t>
  </si>
  <si>
    <t>ĒEE el.en. lietojums, dzesēšana, kWh</t>
  </si>
  <si>
    <t>ĒEE elektroenerģijas lietojums, kWh</t>
  </si>
  <si>
    <t>ĒEE lietderīgi izmantotā PV elektroenerģija:</t>
  </si>
  <si>
    <t>PV ĒEE lietderīgā elektroenerģija, kWh</t>
  </si>
  <si>
    <t>Pirms projekta saražotā PV elektroenerģija: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</si>
</sst>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
    <numFmt numFmtId="165" formatCode="0.0"/>
    <numFmt numFmtId="166" formatCode="#,##0.0"/>
    <numFmt numFmtId="167" formatCode="#,##0.000"/>
    <numFmt numFmtId="168" formatCode="#,##0.000000"/>
    <numFmt numFmtId="169" formatCode="0.0000"/>
    <numFmt numFmtId="170" formatCode="0.000000"/>
    <numFmt numFmtId="171" formatCode="0.0%"/>
    <numFmt numFmtId="172" formatCode="0.00000"/>
  </numFmts>
  <fonts count="80" x14ac:knownFonts="1">
    <font>
      <sz val="11"/>
      <color theme="1"/>
      <name val="Calibri"/>
      <family val="2"/>
      <charset val="186"/>
      <scheme val="minor"/>
    </font>
    <font>
      <sz val="11"/>
      <color theme="1"/>
      <name val="Calibri"/>
      <family val="2"/>
      <charset val="186"/>
      <scheme val="minor"/>
    </font>
    <font>
      <sz val="10"/>
      <name val="Arial"/>
      <family val="2"/>
    </font>
    <font>
      <sz val="10"/>
      <name val="Helv"/>
    </font>
    <font>
      <sz val="10"/>
      <name val="MS Sans Serif"/>
      <family val="2"/>
    </font>
    <font>
      <sz val="11"/>
      <color theme="1"/>
      <name val="Calibri"/>
      <family val="2"/>
      <scheme val="minor"/>
    </font>
    <font>
      <sz val="9"/>
      <color indexed="81"/>
      <name val="Tahoma"/>
      <family val="2"/>
      <charset val="186"/>
    </font>
    <font>
      <b/>
      <sz val="9"/>
      <color indexed="81"/>
      <name val="Tahoma"/>
      <family val="2"/>
      <charset val="186"/>
    </font>
    <font>
      <b/>
      <sz val="12"/>
      <color theme="1"/>
      <name val="Times New Roman"/>
      <family val="1"/>
      <charset val="186"/>
    </font>
    <font>
      <b/>
      <sz val="10"/>
      <color theme="1"/>
      <name val="Times New Roman"/>
      <family val="1"/>
      <charset val="186"/>
    </font>
    <font>
      <sz val="10"/>
      <color theme="1"/>
      <name val="Times New Roman"/>
      <family val="1"/>
      <charset val="186"/>
    </font>
    <font>
      <b/>
      <vertAlign val="subscript"/>
      <sz val="12"/>
      <color theme="1"/>
      <name val="Times New Roman"/>
      <family val="1"/>
      <charset val="186"/>
    </font>
    <font>
      <sz val="8"/>
      <color theme="1"/>
      <name val="Times New Roman"/>
      <family val="1"/>
      <charset val="186"/>
    </font>
    <font>
      <sz val="12"/>
      <color theme="1"/>
      <name val="Times New Roman"/>
      <family val="1"/>
      <charset val="186"/>
    </font>
    <font>
      <sz val="11"/>
      <color theme="1"/>
      <name val="Times New Roman"/>
      <family val="1"/>
      <charset val="186"/>
    </font>
    <font>
      <sz val="24"/>
      <name val="Times New Roman"/>
      <family val="1"/>
      <charset val="186"/>
    </font>
    <font>
      <b/>
      <i/>
      <sz val="10"/>
      <name val="Times New Roman"/>
      <family val="1"/>
      <charset val="186"/>
    </font>
    <font>
      <sz val="10"/>
      <name val="Times New Roman"/>
      <family val="1"/>
      <charset val="186"/>
    </font>
    <font>
      <b/>
      <sz val="16"/>
      <name val="Times New Roman"/>
      <family val="1"/>
      <charset val="186"/>
    </font>
    <font>
      <b/>
      <sz val="10"/>
      <name val="Times New Roman"/>
      <family val="1"/>
      <charset val="186"/>
    </font>
    <font>
      <sz val="8"/>
      <name val="Times New Roman"/>
      <family val="1"/>
      <charset val="186"/>
    </font>
    <font>
      <sz val="9"/>
      <name val="Times New Roman"/>
      <family val="1"/>
      <charset val="186"/>
    </font>
    <font>
      <vertAlign val="superscript"/>
      <sz val="8"/>
      <name val="Times New Roman"/>
      <family val="1"/>
      <charset val="186"/>
    </font>
    <font>
      <b/>
      <sz val="12"/>
      <name val="Times New Roman"/>
      <family val="1"/>
      <charset val="186"/>
    </font>
    <font>
      <sz val="11"/>
      <name val="Times New Roman"/>
      <family val="1"/>
      <charset val="186"/>
    </font>
    <font>
      <sz val="8"/>
      <color indexed="8"/>
      <name val="Times New Roman"/>
      <family val="1"/>
      <charset val="186"/>
    </font>
    <font>
      <sz val="14"/>
      <name val="Times New Roman"/>
      <family val="1"/>
      <charset val="186"/>
    </font>
    <font>
      <sz val="12"/>
      <color indexed="8"/>
      <name val="Times New Roman"/>
      <family val="1"/>
      <charset val="186"/>
    </font>
    <font>
      <b/>
      <sz val="14"/>
      <name val="Times New Roman"/>
      <family val="1"/>
      <charset val="186"/>
    </font>
    <font>
      <sz val="10"/>
      <color indexed="8"/>
      <name val="Times New Roman"/>
      <family val="1"/>
      <charset val="186"/>
    </font>
    <font>
      <sz val="9"/>
      <color indexed="8"/>
      <name val="Times New Roman"/>
      <family val="1"/>
      <charset val="186"/>
    </font>
    <font>
      <b/>
      <sz val="8"/>
      <name val="Times New Roman"/>
      <family val="1"/>
      <charset val="186"/>
    </font>
    <font>
      <b/>
      <sz val="12"/>
      <color indexed="8"/>
      <name val="Times New Roman"/>
      <family val="1"/>
      <charset val="186"/>
    </font>
    <font>
      <b/>
      <sz val="10"/>
      <color indexed="61"/>
      <name val="Times New Roman"/>
      <family val="1"/>
      <charset val="186"/>
    </font>
    <font>
      <vertAlign val="superscript"/>
      <sz val="10"/>
      <name val="Times New Roman"/>
      <family val="1"/>
      <charset val="186"/>
    </font>
    <font>
      <sz val="12"/>
      <name val="Times New Roman"/>
      <family val="1"/>
      <charset val="186"/>
    </font>
    <font>
      <b/>
      <sz val="8"/>
      <color indexed="8"/>
      <name val="Times New Roman"/>
      <family val="1"/>
      <charset val="186"/>
    </font>
    <font>
      <b/>
      <sz val="20"/>
      <color rgb="FF000000"/>
      <name val="Times New Roman"/>
      <family val="1"/>
      <charset val="186"/>
    </font>
    <font>
      <b/>
      <sz val="10"/>
      <color rgb="FF000000"/>
      <name val="Times New Roman"/>
      <family val="1"/>
      <charset val="186"/>
    </font>
    <font>
      <b/>
      <sz val="11"/>
      <color theme="1"/>
      <name val="Times New Roman"/>
      <family val="1"/>
      <charset val="186"/>
    </font>
    <font>
      <sz val="9"/>
      <color theme="1"/>
      <name val="Times New Roman"/>
      <family val="1"/>
      <charset val="186"/>
    </font>
    <font>
      <b/>
      <sz val="11"/>
      <name val="Times New Roman"/>
      <family val="1"/>
      <charset val="186"/>
    </font>
    <font>
      <vertAlign val="superscript"/>
      <sz val="8"/>
      <color theme="1"/>
      <name val="Times New Roman"/>
      <family val="1"/>
      <charset val="186"/>
    </font>
    <font>
      <sz val="8"/>
      <name val="Calibri"/>
      <family val="2"/>
      <charset val="186"/>
      <scheme val="minor"/>
    </font>
    <font>
      <b/>
      <sz val="9"/>
      <name val="Times New Roman"/>
      <family val="1"/>
      <charset val="186"/>
    </font>
    <font>
      <b/>
      <vertAlign val="superscript"/>
      <sz val="8"/>
      <name val="Times New Roman"/>
      <family val="1"/>
      <charset val="186"/>
    </font>
    <font>
      <sz val="14"/>
      <color theme="1"/>
      <name val="Times New Roman"/>
      <family val="1"/>
      <charset val="186"/>
    </font>
    <font>
      <vertAlign val="subscript"/>
      <sz val="8"/>
      <name val="Times New Roman"/>
      <family val="1"/>
      <charset val="186"/>
    </font>
    <font>
      <b/>
      <vertAlign val="subscript"/>
      <sz val="8"/>
      <name val="Times New Roman"/>
      <family val="1"/>
      <charset val="186"/>
    </font>
    <font>
      <sz val="6"/>
      <name val="Times New Roman"/>
      <family val="1"/>
      <charset val="186"/>
    </font>
    <font>
      <sz val="11"/>
      <color theme="0"/>
      <name val="Times New Roman"/>
      <family val="1"/>
      <charset val="186"/>
    </font>
    <font>
      <sz val="11"/>
      <color rgb="FFFF0000"/>
      <name val="Times New Roman"/>
      <family val="1"/>
      <charset val="186"/>
    </font>
    <font>
      <b/>
      <sz val="16"/>
      <color theme="1"/>
      <name val="Times New Roman"/>
      <family val="1"/>
      <charset val="186"/>
    </font>
    <font>
      <b/>
      <sz val="18"/>
      <name val="Times New Roman"/>
      <family val="1"/>
      <charset val="186"/>
    </font>
    <font>
      <b/>
      <u/>
      <sz val="11"/>
      <color rgb="FFFF0000"/>
      <name val="Times New Roman"/>
      <family val="1"/>
      <charset val="186"/>
    </font>
    <font>
      <u/>
      <sz val="11"/>
      <color theme="10"/>
      <name val="Calibri"/>
      <family val="2"/>
      <charset val="186"/>
      <scheme val="minor"/>
    </font>
    <font>
      <sz val="12"/>
      <color rgb="FFFF0000"/>
      <name val="Times New Roman"/>
      <family val="1"/>
      <charset val="186"/>
    </font>
    <font>
      <vertAlign val="subscript"/>
      <sz val="11"/>
      <name val="Times New Roman"/>
      <family val="1"/>
      <charset val="186"/>
    </font>
    <font>
      <vertAlign val="subscript"/>
      <sz val="10"/>
      <name val="Times New Roman"/>
      <family val="1"/>
      <charset val="186"/>
    </font>
    <font>
      <b/>
      <vertAlign val="subscript"/>
      <sz val="10"/>
      <name val="Times New Roman"/>
      <family val="1"/>
      <charset val="186"/>
    </font>
    <font>
      <i/>
      <sz val="10"/>
      <name val="Times New Roman"/>
      <family val="1"/>
      <charset val="186"/>
    </font>
    <font>
      <b/>
      <i/>
      <sz val="12"/>
      <name val="Times New Roman"/>
      <family val="1"/>
      <charset val="186"/>
    </font>
    <font>
      <b/>
      <vertAlign val="subscript"/>
      <sz val="11"/>
      <name val="Times New Roman"/>
      <family val="1"/>
      <charset val="186"/>
    </font>
    <font>
      <b/>
      <sz val="14"/>
      <color theme="1"/>
      <name val="Times New Roman"/>
      <family val="1"/>
      <charset val="186"/>
    </font>
    <font>
      <vertAlign val="subscript"/>
      <sz val="12"/>
      <color theme="1"/>
      <name val="Times New Roman"/>
      <family val="1"/>
      <charset val="186"/>
    </font>
    <font>
      <b/>
      <sz val="10"/>
      <name val="Arial"/>
      <family val="2"/>
      <charset val="186"/>
    </font>
    <font>
      <sz val="10"/>
      <name val="Arial"/>
      <family val="2"/>
      <charset val="186"/>
    </font>
    <font>
      <sz val="11"/>
      <name val="Arial"/>
      <family val="2"/>
    </font>
    <font>
      <vertAlign val="subscript"/>
      <sz val="11"/>
      <name val="Arial"/>
      <family val="2"/>
    </font>
    <font>
      <b/>
      <sz val="10"/>
      <color indexed="10"/>
      <name val="Arial"/>
      <family val="2"/>
    </font>
    <font>
      <vertAlign val="superscript"/>
      <sz val="11"/>
      <name val="Arial"/>
      <family val="2"/>
      <charset val="186"/>
    </font>
    <font>
      <vertAlign val="subscript"/>
      <sz val="8.5"/>
      <name val="Times New Roman"/>
      <family val="1"/>
      <charset val="186"/>
    </font>
    <font>
      <b/>
      <sz val="18"/>
      <color theme="1"/>
      <name val="Times New Roman"/>
      <family val="1"/>
      <charset val="186"/>
    </font>
    <font>
      <b/>
      <sz val="9"/>
      <color theme="1"/>
      <name val="Times New Roman"/>
      <family val="1"/>
      <charset val="186"/>
    </font>
    <font>
      <b/>
      <sz val="14"/>
      <color rgb="FF000000"/>
      <name val="Times New Roman"/>
      <family val="1"/>
      <charset val="186"/>
    </font>
    <font>
      <sz val="14"/>
      <color indexed="8"/>
      <name val="Times New Roman"/>
      <family val="1"/>
      <charset val="186"/>
    </font>
    <font>
      <i/>
      <sz val="14"/>
      <color rgb="FF000000"/>
      <name val="Times New Roman"/>
      <family val="1"/>
      <charset val="186"/>
    </font>
    <font>
      <i/>
      <sz val="14"/>
      <color indexed="8"/>
      <name val="Times New Roman"/>
      <family val="1"/>
      <charset val="186"/>
    </font>
    <font>
      <sz val="14"/>
      <color rgb="FFFF0000"/>
      <name val="Times New Roman"/>
      <family val="1"/>
      <charset val="186"/>
    </font>
    <font>
      <vertAlign val="superscript"/>
      <sz val="12"/>
      <color theme="1"/>
      <name val="Times New Roman"/>
      <family val="1"/>
      <charset val="186"/>
    </font>
  </fonts>
  <fills count="10">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rgb="FFE1FFFF"/>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right/>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auto="1"/>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0" fontId="2" fillId="0" borderId="0"/>
    <xf numFmtId="0" fontId="5" fillId="0" borderId="0"/>
    <xf numFmtId="0" fontId="55" fillId="0" borderId="0" applyNumberFormat="0" applyFill="0" applyBorder="0" applyAlignment="0" applyProtection="0"/>
  </cellStyleXfs>
  <cellXfs count="656">
    <xf numFmtId="0" fontId="0" fillId="0" borderId="0" xfId="0"/>
    <xf numFmtId="0" fontId="8" fillId="0" borderId="16" xfId="0" applyFont="1" applyBorder="1" applyAlignment="1">
      <alignment vertical="center"/>
    </xf>
    <xf numFmtId="0" fontId="8" fillId="0" borderId="17" xfId="0" applyFont="1" applyBorder="1" applyAlignment="1">
      <alignment vertical="center" wrapText="1"/>
    </xf>
    <xf numFmtId="0" fontId="8" fillId="6" borderId="18" xfId="0" applyFont="1" applyFill="1" applyBorder="1" applyAlignment="1">
      <alignment vertical="center" wrapText="1"/>
    </xf>
    <xf numFmtId="0" fontId="8" fillId="0" borderId="0" xfId="0" applyFont="1" applyAlignment="1">
      <alignment vertical="center"/>
    </xf>
    <xf numFmtId="0" fontId="13" fillId="0" borderId="0" xfId="0" applyFont="1" applyAlignment="1">
      <alignment vertical="center"/>
    </xf>
    <xf numFmtId="4" fontId="13" fillId="0" borderId="0" xfId="0" applyNumberFormat="1" applyFont="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4" fontId="13" fillId="0" borderId="0" xfId="0" applyNumberFormat="1" applyFont="1" applyAlignment="1">
      <alignment vertical="center"/>
    </xf>
    <xf numFmtId="4" fontId="13" fillId="0" borderId="0" xfId="0" applyNumberFormat="1" applyFont="1" applyAlignment="1">
      <alignment horizontal="left" vertical="center"/>
    </xf>
    <xf numFmtId="0" fontId="8" fillId="0" borderId="17" xfId="0" applyFont="1" applyBorder="1" applyAlignment="1">
      <alignment horizontal="center" vertical="center"/>
    </xf>
    <xf numFmtId="4" fontId="8" fillId="0" borderId="17" xfId="0" applyNumberFormat="1" applyFont="1" applyBorder="1" applyAlignment="1">
      <alignment horizontal="center" vertical="center" wrapText="1"/>
    </xf>
    <xf numFmtId="0" fontId="8" fillId="0" borderId="17" xfId="0" applyFont="1" applyBorder="1" applyAlignment="1">
      <alignment horizontal="center" vertical="center" wrapText="1"/>
    </xf>
    <xf numFmtId="4" fontId="8" fillId="6" borderId="17"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8" fillId="6" borderId="17" xfId="0" applyFont="1" applyFill="1" applyBorder="1" applyAlignment="1">
      <alignment horizontal="center" vertical="center" wrapText="1"/>
    </xf>
    <xf numFmtId="0" fontId="14" fillId="0" borderId="0" xfId="0" applyFont="1"/>
    <xf numFmtId="0" fontId="15" fillId="0" borderId="0" xfId="0" applyFont="1"/>
    <xf numFmtId="0" fontId="17" fillId="0" borderId="0" xfId="2" applyFont="1" applyAlignment="1">
      <alignment horizontal="centerContinuous" vertical="top"/>
    </xf>
    <xf numFmtId="0" fontId="14" fillId="0" borderId="0" xfId="0" applyFont="1" applyAlignment="1">
      <alignment vertical="top"/>
    </xf>
    <xf numFmtId="0" fontId="17" fillId="0" borderId="0" xfId="2" applyFont="1" applyAlignment="1">
      <alignment horizontal="centerContinuous" vertical="center"/>
    </xf>
    <xf numFmtId="0" fontId="19" fillId="0" borderId="0" xfId="2" applyFont="1" applyAlignment="1">
      <alignment horizontal="centerContinuous" vertical="center"/>
    </xf>
    <xf numFmtId="0" fontId="17" fillId="0" borderId="0" xfId="2" applyFont="1" applyAlignment="1">
      <alignment horizontal="right" vertical="center"/>
    </xf>
    <xf numFmtId="165" fontId="17" fillId="4" borderId="5" xfId="3" applyNumberFormat="1" applyFont="1" applyFill="1" applyBorder="1" applyAlignment="1">
      <alignment horizontal="center" vertical="center"/>
    </xf>
    <xf numFmtId="0" fontId="20" fillId="3" borderId="0" xfId="2" applyFont="1" applyFill="1" applyAlignment="1">
      <alignment horizontal="left" vertical="center"/>
    </xf>
    <xf numFmtId="0" fontId="17" fillId="0" borderId="0" xfId="0" applyFont="1" applyAlignment="1">
      <alignment vertical="center"/>
    </xf>
    <xf numFmtId="0" fontId="17" fillId="0" borderId="0" xfId="2" applyFont="1" applyAlignment="1">
      <alignment horizontal="right"/>
    </xf>
    <xf numFmtId="0" fontId="20" fillId="0" borderId="0" xfId="2" applyFont="1" applyAlignment="1">
      <alignment vertical="center"/>
    </xf>
    <xf numFmtId="1" fontId="17" fillId="4" borderId="5" xfId="3" applyNumberFormat="1" applyFont="1" applyFill="1" applyBorder="1" applyAlignment="1">
      <alignment horizontal="center" vertical="center"/>
    </xf>
    <xf numFmtId="0" fontId="17" fillId="0" borderId="0" xfId="0" applyFont="1" applyAlignment="1">
      <alignment horizontal="right"/>
    </xf>
    <xf numFmtId="0" fontId="17" fillId="0" borderId="0" xfId="0" applyFont="1" applyAlignment="1">
      <alignment horizontal="left"/>
    </xf>
    <xf numFmtId="0" fontId="17" fillId="0" borderId="0" xfId="0" applyFont="1"/>
    <xf numFmtId="0" fontId="20" fillId="0" borderId="0" xfId="2" applyFont="1" applyAlignment="1">
      <alignment horizontal="left" vertical="center"/>
    </xf>
    <xf numFmtId="2" fontId="17" fillId="4" borderId="5" xfId="3" applyNumberFormat="1" applyFont="1" applyFill="1" applyBorder="1" applyAlignment="1">
      <alignment horizontal="center" vertical="center"/>
    </xf>
    <xf numFmtId="1" fontId="17" fillId="0" borderId="5" xfId="3" applyNumberFormat="1" applyFont="1" applyBorder="1" applyAlignment="1">
      <alignment horizontal="center" vertical="center"/>
    </xf>
    <xf numFmtId="0" fontId="17" fillId="0" borderId="5" xfId="0" applyFont="1" applyBorder="1" applyAlignment="1">
      <alignment horizontal="center" vertical="center"/>
    </xf>
    <xf numFmtId="0" fontId="17" fillId="0" borderId="5" xfId="3" applyFont="1" applyBorder="1" applyAlignment="1">
      <alignment horizontal="center" vertical="center"/>
    </xf>
    <xf numFmtId="0" fontId="14" fillId="0" borderId="0" xfId="0" applyFont="1" applyBorder="1" applyAlignment="1"/>
    <xf numFmtId="0" fontId="14" fillId="0" borderId="1" xfId="0" applyFont="1" applyBorder="1" applyAlignment="1"/>
    <xf numFmtId="0" fontId="13" fillId="5" borderId="0" xfId="0" applyFont="1" applyFill="1"/>
    <xf numFmtId="0" fontId="10" fillId="5" borderId="0" xfId="0" applyFont="1" applyFill="1"/>
    <xf numFmtId="0" fontId="38" fillId="5" borderId="0" xfId="0" applyFont="1" applyFill="1" applyAlignment="1">
      <alignment horizontal="center" vertical="center"/>
    </xf>
    <xf numFmtId="0" fontId="14" fillId="5" borderId="0" xfId="0" applyFont="1" applyFill="1"/>
    <xf numFmtId="0" fontId="39" fillId="0" borderId="0" xfId="0" applyFont="1" applyAlignment="1">
      <alignment horizontal="right"/>
    </xf>
    <xf numFmtId="0" fontId="39" fillId="5" borderId="0" xfId="0" applyFont="1" applyFill="1" applyAlignment="1">
      <alignment horizontal="left" vertical="top" wrapText="1"/>
    </xf>
    <xf numFmtId="0" fontId="40" fillId="2" borderId="5" xfId="0" applyFont="1" applyFill="1" applyBorder="1" applyAlignment="1">
      <alignment horizontal="center" vertical="center" wrapText="1"/>
    </xf>
    <xf numFmtId="167" fontId="14" fillId="4" borderId="5" xfId="0" applyNumberFormat="1" applyFont="1" applyFill="1" applyBorder="1" applyAlignment="1" applyProtection="1">
      <alignment horizontal="center" vertical="center" wrapText="1"/>
      <protection locked="0"/>
    </xf>
    <xf numFmtId="167" fontId="14" fillId="0" borderId="5" xfId="0" applyNumberFormat="1" applyFont="1" applyBorder="1" applyAlignment="1">
      <alignment horizontal="center" vertical="center" wrapText="1"/>
    </xf>
    <xf numFmtId="167" fontId="39" fillId="0" borderId="5" xfId="0" applyNumberFormat="1" applyFont="1" applyBorder="1" applyAlignment="1" applyProtection="1">
      <alignment horizontal="center" vertical="center" wrapText="1"/>
      <protection locked="0"/>
    </xf>
    <xf numFmtId="49" fontId="39" fillId="0" borderId="0" xfId="0" applyNumberFormat="1" applyFont="1" applyAlignment="1" applyProtection="1">
      <alignment horizontal="right" wrapText="1"/>
      <protection locked="0"/>
    </xf>
    <xf numFmtId="166" fontId="14" fillId="0" borderId="0" xfId="0" applyNumberFormat="1" applyFont="1" applyAlignment="1" applyProtection="1">
      <alignment horizontal="center" vertical="center" wrapText="1"/>
      <protection locked="0"/>
    </xf>
    <xf numFmtId="167" fontId="14" fillId="0" borderId="0" xfId="0" applyNumberFormat="1" applyFont="1" applyAlignment="1" applyProtection="1">
      <alignment horizontal="center" vertical="center" wrapText="1"/>
      <protection locked="0"/>
    </xf>
    <xf numFmtId="166" fontId="17" fillId="0" borderId="0" xfId="0" applyNumberFormat="1" applyFont="1" applyAlignment="1" applyProtection="1">
      <alignment horizontal="center" vertical="center" wrapText="1"/>
      <protection locked="0"/>
    </xf>
    <xf numFmtId="166" fontId="10" fillId="0" borderId="0" xfId="0" applyNumberFormat="1" applyFont="1" applyAlignment="1" applyProtection="1">
      <alignment horizontal="center" vertical="center" wrapText="1"/>
      <protection locked="0"/>
    </xf>
    <xf numFmtId="167" fontId="10" fillId="0" borderId="0" xfId="0" applyNumberFormat="1" applyFont="1" applyAlignment="1" applyProtection="1">
      <alignment horizontal="center" vertical="center" wrapText="1"/>
      <protection locked="0"/>
    </xf>
    <xf numFmtId="49" fontId="14" fillId="0" borderId="0" xfId="0" applyNumberFormat="1" applyFont="1" applyAlignment="1" applyProtection="1">
      <alignment horizontal="right" wrapText="1"/>
      <protection locked="0"/>
    </xf>
    <xf numFmtId="3" fontId="14" fillId="0" borderId="5" xfId="0" applyNumberFormat="1" applyFont="1" applyBorder="1" applyAlignment="1">
      <alignment horizontal="center" vertical="center" wrapText="1"/>
    </xf>
    <xf numFmtId="0" fontId="39" fillId="0" borderId="0" xfId="0" applyFont="1" applyBorder="1" applyAlignment="1" applyProtection="1">
      <alignment wrapText="1"/>
      <protection locked="0"/>
    </xf>
    <xf numFmtId="166" fontId="41" fillId="0" borderId="5" xfId="0" applyNumberFormat="1" applyFont="1" applyBorder="1" applyAlignment="1" applyProtection="1">
      <alignment horizontal="center" vertical="center" wrapText="1"/>
      <protection locked="0"/>
    </xf>
    <xf numFmtId="0" fontId="13" fillId="0" borderId="0" xfId="0" applyFont="1" applyAlignment="1" applyProtection="1">
      <alignment horizontal="right" wrapText="1"/>
      <protection locked="0"/>
    </xf>
    <xf numFmtId="0" fontId="13" fillId="0" borderId="0" xfId="0" applyFont="1" applyBorder="1" applyAlignment="1" applyProtection="1">
      <alignment horizontal="right" wrapText="1"/>
      <protection locked="0"/>
    </xf>
    <xf numFmtId="166" fontId="13" fillId="0" borderId="0" xfId="0" applyNumberFormat="1" applyFont="1" applyBorder="1" applyAlignment="1" applyProtection="1">
      <alignment horizontal="center" vertical="center" wrapText="1"/>
      <protection locked="0"/>
    </xf>
    <xf numFmtId="3" fontId="13" fillId="0" borderId="9" xfId="0" applyNumberFormat="1" applyFont="1" applyBorder="1" applyAlignment="1" applyProtection="1">
      <alignment horizontal="center" vertical="center" wrapText="1"/>
      <protection locked="0"/>
    </xf>
    <xf numFmtId="0" fontId="10" fillId="5" borderId="0" xfId="0" applyFont="1" applyFill="1" applyAlignment="1">
      <alignment horizontal="center" wrapText="1"/>
    </xf>
    <xf numFmtId="2" fontId="19" fillId="4" borderId="5" xfId="0" applyNumberFormat="1" applyFont="1" applyFill="1" applyBorder="1" applyAlignment="1">
      <alignment horizontal="center" vertical="center" wrapText="1"/>
    </xf>
    <xf numFmtId="0" fontId="14" fillId="5" borderId="1" xfId="0" applyFont="1" applyFill="1" applyBorder="1"/>
    <xf numFmtId="0" fontId="39" fillId="5" borderId="1" xfId="0" applyFont="1" applyFill="1" applyBorder="1" applyAlignment="1">
      <alignment wrapText="1"/>
    </xf>
    <xf numFmtId="0" fontId="14" fillId="5" borderId="1" xfId="0" applyFont="1" applyFill="1" applyBorder="1" applyAlignment="1">
      <alignment wrapText="1"/>
    </xf>
    <xf numFmtId="165" fontId="14" fillId="0" borderId="5" xfId="0" applyNumberFormat="1" applyFont="1" applyFill="1" applyBorder="1" applyAlignment="1" applyProtection="1">
      <alignment horizontal="center" vertical="top" wrapText="1"/>
      <protection locked="0"/>
    </xf>
    <xf numFmtId="167" fontId="41" fillId="0" borderId="5" xfId="0" applyNumberFormat="1" applyFont="1" applyBorder="1" applyAlignment="1" applyProtection="1">
      <alignment horizontal="center" vertical="center" wrapText="1"/>
      <protection locked="0"/>
    </xf>
    <xf numFmtId="0" fontId="10" fillId="5" borderId="0" xfId="0" applyFont="1" applyFill="1" applyAlignment="1">
      <alignment wrapText="1"/>
    </xf>
    <xf numFmtId="167" fontId="14" fillId="4" borderId="5" xfId="0" applyNumberFormat="1" applyFont="1" applyFill="1" applyBorder="1" applyAlignment="1" applyProtection="1">
      <alignment horizontal="center" vertical="top" wrapText="1"/>
      <protection locked="0"/>
    </xf>
    <xf numFmtId="167" fontId="14" fillId="0" borderId="5" xfId="0" applyNumberFormat="1" applyFont="1" applyBorder="1" applyAlignment="1" applyProtection="1">
      <alignment horizontal="center" vertical="top" wrapText="1"/>
      <protection locked="0"/>
    </xf>
    <xf numFmtId="166" fontId="13" fillId="0" borderId="0" xfId="0" applyNumberFormat="1" applyFont="1" applyAlignment="1" applyProtection="1">
      <alignment horizontal="center" vertical="center" wrapText="1"/>
      <protection locked="0"/>
    </xf>
    <xf numFmtId="0" fontId="10" fillId="0" borderId="0" xfId="0" applyFont="1" applyAlignment="1">
      <alignment horizontal="left"/>
    </xf>
    <xf numFmtId="0" fontId="13" fillId="0" borderId="1" xfId="0" applyFont="1" applyBorder="1" applyAlignment="1">
      <alignment horizontal="left"/>
    </xf>
    <xf numFmtId="0" fontId="21" fillId="2" borderId="5" xfId="0" applyFont="1" applyFill="1" applyBorder="1" applyAlignment="1">
      <alignment horizontal="center" vertical="center" wrapText="1"/>
    </xf>
    <xf numFmtId="0" fontId="21" fillId="2" borderId="15" xfId="0" applyFont="1" applyFill="1" applyBorder="1" applyAlignment="1">
      <alignment horizontal="center" vertical="center" wrapText="1"/>
    </xf>
    <xf numFmtId="167" fontId="24" fillId="4" borderId="5" xfId="0" applyNumberFormat="1" applyFont="1" applyFill="1" applyBorder="1" applyAlignment="1" applyProtection="1">
      <alignment horizontal="center" vertical="top" wrapText="1"/>
      <protection locked="0"/>
    </xf>
    <xf numFmtId="167" fontId="24" fillId="0" borderId="5" xfId="0" applyNumberFormat="1"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xf numFmtId="0" fontId="14" fillId="0" borderId="0" xfId="0" applyFont="1" applyBorder="1"/>
    <xf numFmtId="0" fontId="20" fillId="0" borderId="0" xfId="3" applyFont="1" applyBorder="1" applyAlignment="1">
      <alignment vertical="center"/>
    </xf>
    <xf numFmtId="0" fontId="20" fillId="0" borderId="5" xfId="3" applyFont="1" applyBorder="1" applyAlignment="1">
      <alignment horizontal="center" vertical="center"/>
    </xf>
    <xf numFmtId="165" fontId="24" fillId="0" borderId="3" xfId="3" applyNumberFormat="1" applyFont="1" applyBorder="1" applyAlignment="1">
      <alignment horizontal="center" vertical="center"/>
    </xf>
    <xf numFmtId="0" fontId="17" fillId="0" borderId="0" xfId="0" applyFont="1" applyBorder="1" applyAlignment="1">
      <alignment vertical="top"/>
    </xf>
    <xf numFmtId="0" fontId="18" fillId="0" borderId="0" xfId="2" applyFont="1" applyBorder="1" applyAlignment="1">
      <alignment horizontal="centerContinuous" vertical="top"/>
    </xf>
    <xf numFmtId="0" fontId="17" fillId="0" borderId="0" xfId="2" applyFont="1" applyBorder="1" applyAlignment="1">
      <alignment horizontal="centerContinuous" vertical="top"/>
    </xf>
    <xf numFmtId="0" fontId="17" fillId="0" borderId="0" xfId="0" applyFont="1" applyBorder="1" applyAlignment="1">
      <alignment horizontal="centerContinuous"/>
    </xf>
    <xf numFmtId="0" fontId="17" fillId="0" borderId="0" xfId="0" applyFont="1" applyBorder="1" applyAlignment="1">
      <alignment horizontal="centerContinuous" vertical="top"/>
    </xf>
    <xf numFmtId="0" fontId="19" fillId="0" borderId="0" xfId="2" applyFont="1" applyBorder="1" applyAlignment="1">
      <alignment horizontal="centerContinuous" vertical="center"/>
    </xf>
    <xf numFmtId="0" fontId="17" fillId="0" borderId="0" xfId="2" applyFont="1" applyBorder="1" applyAlignment="1">
      <alignment vertical="center"/>
    </xf>
    <xf numFmtId="0" fontId="17" fillId="0" borderId="0" xfId="2" applyFont="1" applyBorder="1" applyAlignment="1">
      <alignment horizontal="centerContinuous" vertical="center"/>
    </xf>
    <xf numFmtId="0" fontId="17" fillId="0" borderId="0" xfId="2" applyFont="1" applyBorder="1" applyAlignment="1">
      <alignment horizontal="right" vertical="center"/>
    </xf>
    <xf numFmtId="0" fontId="20" fillId="3" borderId="0" xfId="2" applyFont="1" applyFill="1" applyBorder="1" applyAlignment="1">
      <alignment horizontal="left" vertical="center"/>
    </xf>
    <xf numFmtId="0" fontId="17" fillId="0" borderId="0" xfId="2" applyFont="1" applyFill="1" applyBorder="1" applyAlignment="1">
      <alignment horizontal="center" vertical="center"/>
    </xf>
    <xf numFmtId="0" fontId="28" fillId="0" borderId="0" xfId="3" applyFont="1" applyBorder="1" applyAlignment="1">
      <alignment vertical="center"/>
    </xf>
    <xf numFmtId="0" fontId="23" fillId="0" borderId="0" xfId="3" applyFont="1" applyBorder="1" applyAlignment="1">
      <alignment vertical="center"/>
    </xf>
    <xf numFmtId="0" fontId="19" fillId="0" borderId="0" xfId="3" applyFont="1" applyBorder="1" applyAlignment="1">
      <alignment vertical="center"/>
    </xf>
    <xf numFmtId="1" fontId="27" fillId="0" borderId="0" xfId="3" applyNumberFormat="1" applyFont="1" applyBorder="1" applyAlignment="1">
      <alignment horizontal="center" vertical="center"/>
    </xf>
    <xf numFmtId="165" fontId="27" fillId="0" borderId="0" xfId="3" applyNumberFormat="1" applyFont="1" applyBorder="1" applyAlignment="1">
      <alignment horizontal="center" vertical="center"/>
    </xf>
    <xf numFmtId="0" fontId="29" fillId="0" borderId="0" xfId="0" applyFont="1" applyBorder="1" applyAlignment="1">
      <alignment vertical="center"/>
    </xf>
    <xf numFmtId="0" fontId="21" fillId="0" borderId="0" xfId="3" applyFont="1" applyBorder="1" applyAlignment="1">
      <alignment horizontal="center"/>
    </xf>
    <xf numFmtId="0" fontId="30" fillId="0" borderId="0" xfId="3" applyFont="1" applyBorder="1" applyAlignment="1">
      <alignment horizontal="center"/>
    </xf>
    <xf numFmtId="0" fontId="25" fillId="0" borderId="0" xfId="3" applyFont="1" applyBorder="1" applyAlignment="1">
      <alignment vertical="center"/>
    </xf>
    <xf numFmtId="0" fontId="26" fillId="0" borderId="0" xfId="3" applyFont="1" applyBorder="1" applyAlignment="1">
      <alignment vertical="center" wrapText="1"/>
    </xf>
    <xf numFmtId="0" fontId="12" fillId="0" borderId="0" xfId="0" applyFont="1" applyBorder="1"/>
    <xf numFmtId="0" fontId="12" fillId="0" borderId="0" xfId="0" applyFont="1"/>
    <xf numFmtId="2" fontId="17" fillId="4" borderId="4" xfId="3" applyNumberFormat="1" applyFont="1" applyFill="1" applyBorder="1" applyAlignment="1">
      <alignment horizontal="center" vertical="center"/>
    </xf>
    <xf numFmtId="0" fontId="17" fillId="4" borderId="5" xfId="3" applyFont="1" applyFill="1" applyBorder="1" applyAlignment="1">
      <alignment horizontal="center" vertical="center"/>
    </xf>
    <xf numFmtId="0" fontId="17" fillId="0" borderId="5" xfId="0" applyFont="1" applyFill="1" applyBorder="1" applyAlignment="1">
      <alignment horizontal="center" vertical="center"/>
    </xf>
    <xf numFmtId="1" fontId="10" fillId="4" borderId="4" xfId="0" applyNumberFormat="1" applyFont="1" applyFill="1" applyBorder="1" applyAlignment="1">
      <alignment horizontal="center" vertical="center"/>
    </xf>
    <xf numFmtId="0" fontId="12" fillId="0" borderId="5" xfId="0" applyFont="1" applyBorder="1" applyAlignment="1">
      <alignment horizontal="center" vertical="center"/>
    </xf>
    <xf numFmtId="2" fontId="17" fillId="4" borderId="13" xfId="3" applyNumberFormat="1" applyFont="1" applyFill="1" applyBorder="1" applyAlignment="1">
      <alignment horizontal="center" vertical="center"/>
    </xf>
    <xf numFmtId="0" fontId="17" fillId="0" borderId="3" xfId="0" applyFont="1" applyBorder="1"/>
    <xf numFmtId="2" fontId="33" fillId="0" borderId="3" xfId="3" applyNumberFormat="1" applyFont="1" applyBorder="1" applyAlignment="1">
      <alignment horizontal="center" vertical="center"/>
    </xf>
    <xf numFmtId="1" fontId="33" fillId="0" borderId="4" xfId="3" applyNumberFormat="1" applyFont="1" applyBorder="1" applyAlignment="1">
      <alignment horizontal="center" vertical="center"/>
    </xf>
    <xf numFmtId="0" fontId="29" fillId="0" borderId="5" xfId="2" applyFont="1" applyBorder="1" applyAlignment="1">
      <alignment horizontal="left" vertical="center"/>
    </xf>
    <xf numFmtId="2" fontId="17" fillId="4" borderId="10" xfId="3" applyNumberFormat="1" applyFont="1" applyFill="1" applyBorder="1" applyAlignment="1">
      <alignment horizontal="center" vertical="center"/>
    </xf>
    <xf numFmtId="165" fontId="17" fillId="4" borderId="5" xfId="3" applyNumberFormat="1" applyFont="1" applyFill="1" applyBorder="1" applyAlignment="1">
      <alignment horizontal="center"/>
    </xf>
    <xf numFmtId="165" fontId="17" fillId="4" borderId="13" xfId="3" applyNumberFormat="1" applyFont="1" applyFill="1" applyBorder="1" applyAlignment="1">
      <alignment horizontal="center"/>
    </xf>
    <xf numFmtId="0" fontId="20" fillId="0" borderId="0" xfId="3" applyFont="1" applyBorder="1" applyAlignment="1">
      <alignment vertical="center" wrapText="1"/>
    </xf>
    <xf numFmtId="0" fontId="18" fillId="0" borderId="0" xfId="3" applyFont="1" applyBorder="1" applyAlignment="1">
      <alignment vertical="center"/>
    </xf>
    <xf numFmtId="0" fontId="35" fillId="0" borderId="0" xfId="3" applyFont="1" applyBorder="1" applyAlignment="1">
      <alignment vertical="center"/>
    </xf>
    <xf numFmtId="0" fontId="10" fillId="0" borderId="0" xfId="0" applyFont="1"/>
    <xf numFmtId="0" fontId="35" fillId="0" borderId="0" xfId="0" applyFont="1" applyBorder="1"/>
    <xf numFmtId="0" fontId="13" fillId="0" borderId="0" xfId="0" applyFont="1"/>
    <xf numFmtId="0" fontId="46" fillId="0" borderId="0" xfId="0" applyFont="1"/>
    <xf numFmtId="166" fontId="14" fillId="4" borderId="5" xfId="0" applyNumberFormat="1" applyFont="1" applyFill="1" applyBorder="1" applyAlignment="1" applyProtection="1">
      <alignment horizontal="center" vertical="top" wrapText="1"/>
      <protection locked="0"/>
    </xf>
    <xf numFmtId="0" fontId="14" fillId="0" borderId="9" xfId="0" applyFont="1" applyFill="1" applyBorder="1" applyAlignment="1" applyProtection="1">
      <alignment wrapText="1"/>
      <protection locked="0"/>
    </xf>
    <xf numFmtId="0" fontId="49" fillId="0" borderId="5" xfId="0" applyFont="1" applyBorder="1" applyAlignment="1">
      <alignment horizontal="center" vertical="center"/>
    </xf>
    <xf numFmtId="0" fontId="49" fillId="0" borderId="5" xfId="0" applyFont="1" applyBorder="1" applyAlignment="1">
      <alignment horizontal="center" vertical="center" wrapText="1"/>
    </xf>
    <xf numFmtId="0" fontId="49" fillId="0" borderId="15" xfId="0" applyFont="1" applyBorder="1" applyAlignment="1">
      <alignment horizontal="center" vertical="center" wrapText="1"/>
    </xf>
    <xf numFmtId="165" fontId="17" fillId="4" borderId="5" xfId="0" applyNumberFormat="1" applyFont="1" applyFill="1" applyBorder="1" applyAlignment="1">
      <alignment horizontal="center" vertical="center"/>
    </xf>
    <xf numFmtId="0" fontId="17" fillId="4" borderId="5" xfId="0" applyFont="1" applyFill="1" applyBorder="1" applyAlignment="1">
      <alignment horizontal="center"/>
    </xf>
    <xf numFmtId="0" fontId="20" fillId="0" borderId="5" xfId="0" applyFont="1" applyFill="1" applyBorder="1" applyAlignment="1">
      <alignment vertical="center" wrapText="1"/>
    </xf>
    <xf numFmtId="0" fontId="20" fillId="0" borderId="5" xfId="0" applyFont="1" applyBorder="1" applyAlignment="1">
      <alignment vertical="center"/>
    </xf>
    <xf numFmtId="0" fontId="17" fillId="0" borderId="5" xfId="0" applyFont="1" applyFill="1" applyBorder="1" applyAlignment="1">
      <alignment horizontal="center"/>
    </xf>
    <xf numFmtId="0" fontId="17" fillId="0" borderId="5" xfId="0" applyFont="1" applyBorder="1" applyAlignment="1">
      <alignment horizontal="center"/>
    </xf>
    <xf numFmtId="165" fontId="17" fillId="0" borderId="5" xfId="0" applyNumberFormat="1" applyFont="1" applyFill="1" applyBorder="1" applyAlignment="1">
      <alignment horizontal="center" vertical="center"/>
    </xf>
    <xf numFmtId="0" fontId="50" fillId="0" borderId="0" xfId="0" applyFont="1"/>
    <xf numFmtId="0" fontId="51" fillId="0" borderId="0" xfId="0" applyFont="1" applyBorder="1" applyAlignment="1"/>
    <xf numFmtId="0" fontId="51" fillId="0" borderId="1" xfId="0" applyFont="1" applyBorder="1" applyAlignment="1"/>
    <xf numFmtId="0" fontId="20" fillId="7" borderId="5" xfId="0" applyFont="1" applyFill="1" applyBorder="1" applyAlignment="1">
      <alignment vertical="center"/>
    </xf>
    <xf numFmtId="0" fontId="51" fillId="0" borderId="1" xfId="0" applyFont="1" applyBorder="1" applyAlignment="1">
      <alignment vertical="top"/>
    </xf>
    <xf numFmtId="4" fontId="17" fillId="4" borderId="5" xfId="0" applyNumberFormat="1" applyFont="1" applyFill="1" applyBorder="1" applyAlignment="1" applyProtection="1">
      <alignment horizontal="center" vertical="center" wrapText="1"/>
      <protection locked="0"/>
    </xf>
    <xf numFmtId="9" fontId="17" fillId="4" borderId="5" xfId="1" applyFont="1" applyFill="1" applyBorder="1" applyAlignment="1" applyProtection="1">
      <alignment horizontal="center" vertical="center" wrapText="1"/>
      <protection locked="0"/>
    </xf>
    <xf numFmtId="166" fontId="9" fillId="5" borderId="1" xfId="0" applyNumberFormat="1" applyFont="1" applyFill="1" applyBorder="1" applyAlignment="1">
      <alignment horizontal="center" wrapText="1"/>
    </xf>
    <xf numFmtId="166" fontId="9" fillId="0" borderId="12" xfId="0" applyNumberFormat="1" applyFont="1" applyFill="1" applyBorder="1" applyAlignment="1">
      <alignment horizontal="center" wrapText="1"/>
    </xf>
    <xf numFmtId="4" fontId="17" fillId="0" borderId="1" xfId="0" applyNumberFormat="1" applyFont="1" applyFill="1" applyBorder="1" applyAlignment="1" applyProtection="1">
      <alignment horizontal="right" vertical="center" wrapText="1"/>
      <protection locked="0"/>
    </xf>
    <xf numFmtId="0" fontId="55" fillId="5" borderId="0" xfId="6" applyFill="1"/>
    <xf numFmtId="0" fontId="56" fillId="0" borderId="0" xfId="3" applyFont="1" applyAlignment="1">
      <alignment horizontal="center" vertical="center"/>
    </xf>
    <xf numFmtId="0" fontId="23" fillId="0" borderId="5" xfId="3" applyFont="1" applyBorder="1" applyAlignment="1">
      <alignment horizontal="center" vertical="center"/>
    </xf>
    <xf numFmtId="165" fontId="13" fillId="0" borderId="15" xfId="0" applyNumberFormat="1" applyFont="1" applyBorder="1" applyAlignment="1">
      <alignment horizontal="center" vertical="center"/>
    </xf>
    <xf numFmtId="0" fontId="13" fillId="0" borderId="16" xfId="0" applyFont="1" applyBorder="1" applyAlignment="1">
      <alignment vertical="center"/>
    </xf>
    <xf numFmtId="0" fontId="13" fillId="4" borderId="17" xfId="0" applyFont="1" applyFill="1" applyBorder="1" applyAlignment="1">
      <alignment vertical="center" wrapText="1"/>
    </xf>
    <xf numFmtId="4" fontId="13" fillId="4" borderId="17" xfId="0" applyNumberFormat="1" applyFont="1" applyFill="1" applyBorder="1" applyAlignment="1">
      <alignment horizontal="center" vertical="center"/>
    </xf>
    <xf numFmtId="2" fontId="13" fillId="0" borderId="17" xfId="0" applyNumberFormat="1" applyFont="1" applyBorder="1" applyAlignment="1">
      <alignment horizontal="center" vertical="center"/>
    </xf>
    <xf numFmtId="3" fontId="13" fillId="6" borderId="17" xfId="0" applyNumberFormat="1" applyFont="1" applyFill="1" applyBorder="1" applyAlignment="1">
      <alignment horizontal="center" vertical="center"/>
    </xf>
    <xf numFmtId="0" fontId="13" fillId="4" borderId="17" xfId="0" applyFont="1" applyFill="1" applyBorder="1" applyAlignment="1">
      <alignment horizontal="center" vertical="center"/>
    </xf>
    <xf numFmtId="168" fontId="8" fillId="6" borderId="17" xfId="0" applyNumberFormat="1" applyFont="1" applyFill="1" applyBorder="1" applyAlignment="1">
      <alignment horizontal="center" vertical="center"/>
    </xf>
    <xf numFmtId="0" fontId="8" fillId="4" borderId="17" xfId="0" applyFont="1" applyFill="1" applyBorder="1" applyAlignment="1">
      <alignment horizontal="center" vertical="center"/>
    </xf>
    <xf numFmtId="168" fontId="8" fillId="6" borderId="18" xfId="0" applyNumberFormat="1" applyFont="1" applyFill="1" applyBorder="1" applyAlignment="1">
      <alignment horizontal="center" vertical="center"/>
    </xf>
    <xf numFmtId="1" fontId="56" fillId="0" borderId="15" xfId="0" applyNumberFormat="1" applyFont="1" applyBorder="1" applyAlignment="1">
      <alignment horizontal="center" vertical="center"/>
    </xf>
    <xf numFmtId="0" fontId="28" fillId="0" borderId="0" xfId="3" applyFont="1" applyAlignment="1">
      <alignment vertical="center"/>
    </xf>
    <xf numFmtId="0" fontId="24" fillId="0" borderId="0" xfId="0" applyFont="1"/>
    <xf numFmtId="0" fontId="28" fillId="0" borderId="3" xfId="0" applyFont="1" applyFill="1" applyBorder="1" applyAlignment="1">
      <alignment horizontal="center" vertical="center" wrapText="1"/>
    </xf>
    <xf numFmtId="0" fontId="24" fillId="0" borderId="5" xfId="0" applyFont="1" applyBorder="1" applyAlignment="1">
      <alignment horizontal="center" vertical="center"/>
    </xf>
    <xf numFmtId="0" fontId="24" fillId="0" borderId="0" xfId="0" applyFont="1" applyFill="1" applyBorder="1" applyAlignment="1">
      <alignment horizontal="right"/>
    </xf>
    <xf numFmtId="0" fontId="24" fillId="0" borderId="5" xfId="0" applyFont="1" applyFill="1" applyBorder="1" applyAlignment="1">
      <alignment horizontal="center"/>
    </xf>
    <xf numFmtId="0" fontId="41" fillId="0" borderId="5" xfId="0" applyFont="1" applyFill="1" applyBorder="1" applyAlignment="1">
      <alignment horizontal="center"/>
    </xf>
    <xf numFmtId="0" fontId="24" fillId="4" borderId="5" xfId="0" applyFont="1" applyFill="1" applyBorder="1" applyAlignment="1">
      <alignment horizontal="center"/>
    </xf>
    <xf numFmtId="0" fontId="24" fillId="0" borderId="1" xfId="0" applyFont="1" applyFill="1" applyBorder="1" applyAlignment="1">
      <alignment horizontal="right"/>
    </xf>
    <xf numFmtId="165" fontId="24" fillId="0" borderId="5" xfId="0" applyNumberFormat="1" applyFont="1" applyFill="1" applyBorder="1" applyAlignment="1">
      <alignment horizontal="center"/>
    </xf>
    <xf numFmtId="0" fontId="24" fillId="0" borderId="9" xfId="0" applyFont="1" applyFill="1" applyBorder="1"/>
    <xf numFmtId="0" fontId="24" fillId="0" borderId="10" xfId="0" applyFont="1" applyFill="1" applyBorder="1" applyAlignment="1">
      <alignment horizontal="center"/>
    </xf>
    <xf numFmtId="0" fontId="24" fillId="0" borderId="5" xfId="0" applyFont="1" applyFill="1" applyBorder="1" applyAlignment="1">
      <alignment horizontal="center" vertical="center" wrapText="1"/>
    </xf>
    <xf numFmtId="0" fontId="24" fillId="0" borderId="3" xfId="0" applyFont="1" applyFill="1" applyBorder="1" applyAlignment="1">
      <alignment horizontal="right" vertical="center" wrapText="1"/>
    </xf>
    <xf numFmtId="169" fontId="18" fillId="0" borderId="3" xfId="0" applyNumberFormat="1" applyFont="1" applyFill="1" applyBorder="1" applyAlignment="1">
      <alignment horizontal="center" vertical="center"/>
    </xf>
    <xf numFmtId="0" fontId="24" fillId="0" borderId="0" xfId="0" applyFont="1" applyFill="1"/>
    <xf numFmtId="0" fontId="24" fillId="0" borderId="2" xfId="0" applyFont="1" applyBorder="1" applyAlignment="1">
      <alignment horizontal="center" vertical="center"/>
    </xf>
    <xf numFmtId="164" fontId="41" fillId="0" borderId="5" xfId="0" applyNumberFormat="1" applyFont="1" applyFill="1" applyBorder="1" applyAlignment="1">
      <alignment horizontal="center"/>
    </xf>
    <xf numFmtId="164" fontId="17" fillId="4" borderId="5" xfId="0" applyNumberFormat="1" applyFont="1" applyFill="1" applyBorder="1" applyAlignment="1">
      <alignment horizontal="center" vertical="center"/>
    </xf>
    <xf numFmtId="0" fontId="31" fillId="0" borderId="13" xfId="0" applyFont="1" applyBorder="1" applyAlignment="1">
      <alignment horizontal="center" vertical="center" wrapText="1"/>
    </xf>
    <xf numFmtId="0" fontId="31" fillId="0" borderId="5" xfId="0" applyFont="1" applyBorder="1" applyAlignment="1">
      <alignment horizontal="center" vertical="center" wrapText="1"/>
    </xf>
    <xf numFmtId="0" fontId="14" fillId="0" borderId="1" xfId="0" applyFont="1" applyFill="1" applyBorder="1" applyAlignment="1">
      <alignment horizontal="center"/>
    </xf>
    <xf numFmtId="0" fontId="14" fillId="0" borderId="1" xfId="0" applyFont="1" applyBorder="1" applyAlignment="1">
      <alignment vertical="top" wrapText="1"/>
    </xf>
    <xf numFmtId="0" fontId="14" fillId="0" borderId="1" xfId="0" applyFont="1" applyBorder="1" applyAlignment="1">
      <alignment wrapText="1"/>
    </xf>
    <xf numFmtId="0" fontId="13" fillId="0" borderId="0" xfId="0" applyFont="1" applyFill="1" applyBorder="1" applyAlignment="1">
      <alignment horizontal="center"/>
    </xf>
    <xf numFmtId="0" fontId="13" fillId="0" borderId="0" xfId="0" applyFont="1" applyFill="1" applyBorder="1" applyAlignment="1">
      <alignment horizontal="left"/>
    </xf>
    <xf numFmtId="0" fontId="44" fillId="0" borderId="0" xfId="0" applyFont="1" applyBorder="1" applyAlignment="1">
      <alignment vertical="center"/>
    </xf>
    <xf numFmtId="0" fontId="44" fillId="0" borderId="0" xfId="0" applyFont="1" applyFill="1" applyBorder="1" applyAlignment="1">
      <alignment vertical="center"/>
    </xf>
    <xf numFmtId="165" fontId="14" fillId="0" borderId="0" xfId="0" applyNumberFormat="1" applyFont="1"/>
    <xf numFmtId="0" fontId="20" fillId="0" borderId="5" xfId="0" applyFont="1" applyBorder="1" applyAlignment="1">
      <alignment horizontal="center" vertical="center" wrapText="1"/>
    </xf>
    <xf numFmtId="165" fontId="17" fillId="4" borderId="5" xfId="0" applyNumberFormat="1" applyFont="1" applyFill="1" applyBorder="1" applyAlignment="1">
      <alignment horizontal="center" vertical="center"/>
    </xf>
    <xf numFmtId="0" fontId="20" fillId="0" borderId="5" xfId="0" applyFont="1" applyBorder="1" applyAlignment="1">
      <alignment horizontal="center" vertical="center" wrapText="1"/>
    </xf>
    <xf numFmtId="0" fontId="20" fillId="0"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44" fillId="0" borderId="6" xfId="0" applyFont="1" applyBorder="1" applyAlignment="1">
      <alignment horizontal="right" vertical="center"/>
    </xf>
    <xf numFmtId="0" fontId="21" fillId="0" borderId="0" xfId="0" applyFont="1" applyFill="1" applyBorder="1" applyAlignment="1">
      <alignment vertical="center"/>
    </xf>
    <xf numFmtId="0" fontId="21" fillId="0" borderId="0" xfId="0" applyFont="1" applyBorder="1" applyAlignment="1">
      <alignment vertical="center"/>
    </xf>
    <xf numFmtId="1" fontId="24" fillId="2" borderId="5" xfId="0" applyNumberFormat="1" applyFont="1" applyFill="1" applyBorder="1" applyAlignment="1">
      <alignment horizontal="center" vertical="center"/>
    </xf>
    <xf numFmtId="0" fontId="31" fillId="2" borderId="5" xfId="0" applyFont="1" applyFill="1" applyBorder="1" applyAlignment="1">
      <alignment horizontal="center" vertical="center"/>
    </xf>
    <xf numFmtId="1" fontId="17" fillId="0" borderId="5" xfId="3" applyNumberFormat="1" applyFont="1" applyBorder="1" applyAlignment="1">
      <alignment horizontal="center" vertical="center"/>
    </xf>
    <xf numFmtId="0" fontId="21" fillId="0" borderId="0" xfId="3" applyFont="1" applyBorder="1" applyAlignment="1">
      <alignment horizontal="center"/>
    </xf>
    <xf numFmtId="0" fontId="20" fillId="0" borderId="5" xfId="3" applyFont="1" applyBorder="1" applyAlignment="1">
      <alignment horizontal="center" vertical="center"/>
    </xf>
    <xf numFmtId="2" fontId="17" fillId="4" borderId="5" xfId="3" applyNumberFormat="1" applyFont="1" applyFill="1" applyBorder="1" applyAlignment="1">
      <alignment horizontal="center" vertical="center"/>
    </xf>
    <xf numFmtId="0" fontId="17" fillId="0" borderId="5" xfId="3" applyFont="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xf numFmtId="0" fontId="17" fillId="0" borderId="0" xfId="2" applyFont="1" applyFill="1" applyBorder="1" applyAlignment="1">
      <alignment horizontal="right" vertical="center"/>
    </xf>
    <xf numFmtId="1" fontId="17" fillId="0" borderId="0" xfId="3" applyNumberFormat="1" applyFont="1" applyFill="1" applyBorder="1" applyAlignment="1">
      <alignment horizontal="center" vertical="center"/>
    </xf>
    <xf numFmtId="0" fontId="20" fillId="0" borderId="0" xfId="2" applyFont="1" applyFill="1" applyBorder="1" applyAlignment="1">
      <alignment horizontal="left" vertical="center"/>
    </xf>
    <xf numFmtId="165" fontId="17" fillId="0" borderId="5" xfId="3" applyNumberFormat="1" applyFont="1" applyFill="1" applyBorder="1" applyAlignment="1" applyProtection="1">
      <alignment horizontal="center" vertical="center"/>
      <protection hidden="1"/>
    </xf>
    <xf numFmtId="165" fontId="24" fillId="0" borderId="2" xfId="3" applyNumberFormat="1" applyFont="1" applyFill="1" applyBorder="1" applyAlignment="1">
      <alignment horizontal="center" vertical="center"/>
    </xf>
    <xf numFmtId="165" fontId="17" fillId="0" borderId="5" xfId="3" applyNumberFormat="1" applyFont="1" applyFill="1" applyBorder="1" applyAlignment="1">
      <alignment horizontal="center" vertical="center"/>
    </xf>
    <xf numFmtId="1" fontId="17" fillId="0" borderId="4" xfId="3" applyNumberFormat="1" applyFont="1" applyFill="1" applyBorder="1" applyAlignment="1">
      <alignment horizontal="center" vertical="center"/>
    </xf>
    <xf numFmtId="0" fontId="0" fillId="0" borderId="0" xfId="0" applyAlignment="1">
      <alignment vertical="center"/>
    </xf>
    <xf numFmtId="0" fontId="0" fillId="2" borderId="19" xfId="0" applyFill="1" applyBorder="1" applyAlignment="1">
      <alignment vertical="center"/>
    </xf>
    <xf numFmtId="0" fontId="66" fillId="2" borderId="20" xfId="0" applyFont="1" applyFill="1" applyBorder="1" applyAlignment="1">
      <alignment vertical="center"/>
    </xf>
    <xf numFmtId="1" fontId="66" fillId="0" borderId="5" xfId="0" applyNumberFormat="1" applyFont="1" applyBorder="1" applyAlignment="1">
      <alignment horizontal="center"/>
    </xf>
    <xf numFmtId="1" fontId="66" fillId="0" borderId="5" xfId="0" applyNumberFormat="1" applyFont="1" applyBorder="1" applyAlignment="1">
      <alignment horizontal="center" vertical="center"/>
    </xf>
    <xf numFmtId="0" fontId="66" fillId="2" borderId="21" xfId="0" applyFont="1" applyFill="1" applyBorder="1" applyAlignment="1">
      <alignment vertical="center"/>
    </xf>
    <xf numFmtId="1" fontId="66" fillId="0" borderId="22" xfId="0" applyNumberFormat="1" applyFont="1" applyBorder="1" applyAlignment="1">
      <alignment horizontal="center"/>
    </xf>
    <xf numFmtId="1" fontId="66" fillId="0" borderId="22"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67" fillId="2" borderId="20" xfId="0" applyFont="1" applyFill="1" applyBorder="1" applyAlignment="1">
      <alignment horizontal="left" vertical="center"/>
    </xf>
    <xf numFmtId="165" fontId="67" fillId="0" borderId="2" xfId="0" applyNumberFormat="1" applyFont="1" applyBorder="1" applyAlignment="1">
      <alignment horizontal="center" vertical="center"/>
    </xf>
    <xf numFmtId="165" fontId="67" fillId="0" borderId="3"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67" fillId="2" borderId="21" xfId="0" applyFont="1" applyFill="1" applyBorder="1" applyAlignment="1">
      <alignment horizontal="left" vertical="center"/>
    </xf>
    <xf numFmtId="165" fontId="67" fillId="0" borderId="23" xfId="0" applyNumberFormat="1" applyFont="1" applyBorder="1" applyAlignment="1">
      <alignment horizontal="center" vertical="center"/>
    </xf>
    <xf numFmtId="165" fontId="67" fillId="0" borderId="24" xfId="0" applyNumberFormat="1" applyFont="1" applyBorder="1" applyAlignment="1">
      <alignment horizontal="center" vertical="center"/>
    </xf>
    <xf numFmtId="165" fontId="2" fillId="0" borderId="23" xfId="0" applyNumberFormat="1" applyFont="1" applyBorder="1" applyAlignment="1">
      <alignment horizontal="center" vertical="center"/>
    </xf>
    <xf numFmtId="0" fontId="69" fillId="0" borderId="0" xfId="0" applyFont="1" applyAlignment="1">
      <alignment vertical="center"/>
    </xf>
    <xf numFmtId="1" fontId="0" fillId="0" borderId="0" xfId="0" applyNumberFormat="1"/>
    <xf numFmtId="0" fontId="2" fillId="0" borderId="0" xfId="0" applyFont="1" applyBorder="1" applyAlignment="1">
      <alignment vertical="center"/>
    </xf>
    <xf numFmtId="0" fontId="67" fillId="0" borderId="5" xfId="0" applyFont="1" applyFill="1" applyBorder="1" applyAlignment="1">
      <alignment horizontal="left" vertical="center"/>
    </xf>
    <xf numFmtId="0" fontId="67" fillId="0" borderId="5" xfId="0" applyFont="1" applyFill="1" applyBorder="1" applyAlignment="1">
      <alignment horizontal="center" vertical="center"/>
    </xf>
    <xf numFmtId="0" fontId="67" fillId="0" borderId="5" xfId="0" applyFont="1" applyFill="1" applyBorder="1" applyAlignment="1">
      <alignment horizontal="center" vertical="center" wrapText="1"/>
    </xf>
    <xf numFmtId="165" fontId="67" fillId="0" borderId="5" xfId="0" applyNumberFormat="1" applyFont="1" applyFill="1" applyBorder="1" applyAlignment="1">
      <alignment horizontal="center" vertical="center"/>
    </xf>
    <xf numFmtId="1" fontId="67" fillId="0" borderId="5" xfId="0" applyNumberFormat="1" applyFont="1" applyFill="1" applyBorder="1" applyAlignment="1">
      <alignment horizontal="center" vertical="center"/>
    </xf>
    <xf numFmtId="0" fontId="19" fillId="0" borderId="0" xfId="2" applyFont="1" applyBorder="1" applyAlignment="1">
      <alignment horizontal="centerContinuous" vertical="top"/>
    </xf>
    <xf numFmtId="0" fontId="10" fillId="0" borderId="0" xfId="0" applyFont="1" applyAlignment="1">
      <alignment vertical="top"/>
    </xf>
    <xf numFmtId="0" fontId="21" fillId="2" borderId="5" xfId="0" applyFont="1" applyFill="1" applyBorder="1" applyAlignment="1">
      <alignment horizontal="center" vertical="center" wrapText="1"/>
    </xf>
    <xf numFmtId="0" fontId="20" fillId="0" borderId="5" xfId="3" applyFont="1" applyBorder="1" applyAlignment="1">
      <alignment horizontal="center" vertical="center"/>
    </xf>
    <xf numFmtId="1" fontId="17" fillId="0" borderId="7" xfId="0" applyNumberFormat="1" applyFont="1" applyBorder="1" applyAlignment="1">
      <alignment horizontal="center"/>
    </xf>
    <xf numFmtId="1" fontId="17" fillId="0" borderId="9" xfId="0" applyNumberFormat="1" applyFont="1" applyBorder="1" applyAlignment="1">
      <alignment horizontal="center"/>
    </xf>
    <xf numFmtId="0" fontId="28" fillId="0" borderId="5" xfId="3" applyFont="1" applyBorder="1" applyAlignment="1">
      <alignment vertical="center"/>
    </xf>
    <xf numFmtId="0" fontId="21" fillId="2" borderId="5" xfId="3" applyFont="1" applyFill="1" applyBorder="1" applyAlignment="1">
      <alignment horizontal="center" vertical="center"/>
    </xf>
    <xf numFmtId="0" fontId="21" fillId="2" borderId="5" xfId="3" applyFont="1" applyFill="1" applyBorder="1" applyAlignment="1">
      <alignment horizontal="center" vertical="center" wrapText="1"/>
    </xf>
    <xf numFmtId="0" fontId="20" fillId="2" borderId="5" xfId="3" applyFont="1" applyFill="1" applyBorder="1" applyAlignment="1">
      <alignment horizontal="center" vertical="center"/>
    </xf>
    <xf numFmtId="0" fontId="12" fillId="2" borderId="5" xfId="0" applyFont="1" applyFill="1" applyBorder="1" applyAlignment="1">
      <alignment horizontal="center" vertical="center"/>
    </xf>
    <xf numFmtId="165" fontId="24" fillId="2" borderId="5" xfId="3" applyNumberFormat="1" applyFont="1" applyFill="1" applyBorder="1" applyAlignment="1">
      <alignment horizontal="center" wrapText="1"/>
    </xf>
    <xf numFmtId="164" fontId="20" fillId="2" borderId="5" xfId="3" applyNumberFormat="1" applyFont="1" applyFill="1" applyBorder="1" applyAlignment="1">
      <alignment horizontal="center" wrapText="1"/>
    </xf>
    <xf numFmtId="0" fontId="14" fillId="0" borderId="0" xfId="0" applyFont="1" applyFill="1"/>
    <xf numFmtId="0" fontId="17" fillId="0" borderId="4" xfId="0" applyFont="1" applyFill="1" applyBorder="1" applyAlignment="1">
      <alignment horizontal="left"/>
    </xf>
    <xf numFmtId="0" fontId="17" fillId="0" borderId="12" xfId="0" applyFont="1" applyFill="1" applyBorder="1" applyAlignment="1">
      <alignment horizontal="left"/>
    </xf>
    <xf numFmtId="0" fontId="17" fillId="0" borderId="6" xfId="0" applyFont="1" applyFill="1" applyBorder="1" applyAlignment="1"/>
    <xf numFmtId="0" fontId="17" fillId="0" borderId="10" xfId="0" applyFont="1" applyFill="1" applyBorder="1" applyAlignment="1"/>
    <xf numFmtId="0" fontId="17" fillId="0" borderId="12" xfId="0" applyFont="1" applyFill="1" applyBorder="1" applyAlignment="1"/>
    <xf numFmtId="0" fontId="17" fillId="2" borderId="3" xfId="0" applyFont="1" applyFill="1" applyBorder="1" applyAlignment="1">
      <alignment horizontal="center" vertical="center"/>
    </xf>
    <xf numFmtId="0" fontId="17" fillId="0" borderId="4" xfId="0" applyFont="1" applyBorder="1" applyAlignment="1"/>
    <xf numFmtId="0" fontId="17" fillId="0" borderId="12" xfId="0" applyFont="1" applyBorder="1" applyAlignment="1"/>
    <xf numFmtId="0" fontId="17" fillId="0" borderId="6" xfId="0" applyFont="1" applyBorder="1" applyAlignment="1"/>
    <xf numFmtId="1" fontId="17" fillId="0" borderId="0" xfId="0" applyNumberFormat="1" applyFont="1" applyBorder="1" applyAlignment="1">
      <alignment horizontal="center"/>
    </xf>
    <xf numFmtId="0" fontId="17" fillId="0" borderId="10" xfId="0" applyFont="1" applyBorder="1" applyAlignment="1"/>
    <xf numFmtId="2" fontId="17" fillId="0" borderId="1" xfId="0" applyNumberFormat="1" applyFont="1" applyBorder="1" applyAlignment="1">
      <alignment horizontal="center"/>
    </xf>
    <xf numFmtId="0" fontId="17" fillId="2" borderId="4" xfId="0" applyFont="1" applyFill="1" applyBorder="1" applyAlignment="1">
      <alignment horizontal="center" vertical="center"/>
    </xf>
    <xf numFmtId="0" fontId="17" fillId="0" borderId="15" xfId="0" applyFont="1" applyFill="1" applyBorder="1" applyAlignment="1">
      <alignment horizontal="center"/>
    </xf>
    <xf numFmtId="0" fontId="17" fillId="0" borderId="14" xfId="0" applyFont="1" applyFill="1" applyBorder="1" applyAlignment="1">
      <alignment horizontal="center"/>
    </xf>
    <xf numFmtId="0" fontId="17" fillId="0" borderId="13" xfId="0" applyFont="1" applyFill="1" applyBorder="1" applyAlignment="1">
      <alignment horizontal="center"/>
    </xf>
    <xf numFmtId="0" fontId="17" fillId="2" borderId="5" xfId="0" applyFont="1" applyFill="1" applyBorder="1" applyAlignment="1">
      <alignment horizontal="center" vertical="center"/>
    </xf>
    <xf numFmtId="165" fontId="17" fillId="4" borderId="5" xfId="3" applyNumberFormat="1" applyFont="1" applyFill="1" applyBorder="1" applyAlignment="1" applyProtection="1">
      <alignment horizontal="center" vertical="center"/>
      <protection hidden="1"/>
    </xf>
    <xf numFmtId="1" fontId="17" fillId="4" borderId="2" xfId="3" applyNumberFormat="1" applyFont="1" applyFill="1" applyBorder="1" applyAlignment="1">
      <alignment vertical="center"/>
    </xf>
    <xf numFmtId="1" fontId="17" fillId="4" borderId="4" xfId="3" applyNumberFormat="1" applyFont="1" applyFill="1" applyBorder="1" applyAlignment="1">
      <alignment vertical="center"/>
    </xf>
    <xf numFmtId="0" fontId="21" fillId="0" borderId="0" xfId="0" applyFont="1" applyFill="1" applyBorder="1" applyAlignment="1">
      <alignment horizontal="center" vertical="center" wrapText="1"/>
    </xf>
    <xf numFmtId="4" fontId="17" fillId="0" borderId="5" xfId="0" applyNumberFormat="1" applyFont="1" applyFill="1" applyBorder="1" applyAlignment="1">
      <alignment horizontal="center"/>
    </xf>
    <xf numFmtId="0" fontId="44" fillId="0" borderId="0" xfId="0" applyFont="1" applyBorder="1" applyAlignment="1">
      <alignment horizontal="right" vertical="center"/>
    </xf>
    <xf numFmtId="0" fontId="44" fillId="0" borderId="0" xfId="0" applyFont="1" applyFill="1" applyBorder="1" applyAlignment="1">
      <alignment horizontal="center" vertical="center"/>
    </xf>
    <xf numFmtId="164" fontId="23" fillId="0" borderId="0" xfId="0" applyNumberFormat="1" applyFont="1" applyFill="1" applyBorder="1" applyAlignment="1">
      <alignment horizontal="center" vertical="top"/>
    </xf>
    <xf numFmtId="1" fontId="24" fillId="0" borderId="5"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0" fontId="21" fillId="0" borderId="10" xfId="0" applyFont="1" applyFill="1" applyBorder="1" applyAlignment="1">
      <alignment vertical="center"/>
    </xf>
    <xf numFmtId="0" fontId="21" fillId="0" borderId="12" xfId="0" applyFont="1" applyFill="1" applyBorder="1" applyAlignment="1">
      <alignment vertical="center"/>
    </xf>
    <xf numFmtId="1" fontId="10" fillId="0" borderId="4" xfId="0" applyNumberFormat="1" applyFont="1" applyFill="1" applyBorder="1" applyAlignment="1">
      <alignment horizontal="center" vertical="center"/>
    </xf>
    <xf numFmtId="2" fontId="17" fillId="0" borderId="5" xfId="0" applyNumberFormat="1" applyFont="1" applyFill="1" applyBorder="1" applyAlignment="1">
      <alignment horizontal="center" vertical="center"/>
    </xf>
    <xf numFmtId="165" fontId="17" fillId="0" borderId="5" xfId="3" applyNumberFormat="1" applyFont="1" applyFill="1" applyBorder="1" applyAlignment="1">
      <alignment horizontal="center"/>
    </xf>
    <xf numFmtId="1" fontId="33" fillId="0" borderId="3" xfId="3" applyNumberFormat="1" applyFont="1" applyBorder="1" applyAlignment="1">
      <alignment horizontal="center" vertical="center"/>
    </xf>
    <xf numFmtId="0" fontId="8" fillId="4" borderId="5" xfId="0" applyFont="1" applyFill="1" applyBorder="1" applyAlignment="1">
      <alignment horizontal="center" vertical="center"/>
    </xf>
    <xf numFmtId="0" fontId="24" fillId="0" borderId="0" xfId="0" applyFont="1" applyFill="1" applyBorder="1" applyAlignment="1">
      <alignment horizontal="center" vertical="center"/>
    </xf>
    <xf numFmtId="0" fontId="66" fillId="2" borderId="25" xfId="0" applyFont="1" applyFill="1" applyBorder="1" applyAlignment="1">
      <alignment vertical="center"/>
    </xf>
    <xf numFmtId="0" fontId="0" fillId="2" borderId="26" xfId="0" applyFill="1" applyBorder="1" applyAlignment="1">
      <alignment horizontal="center" vertical="center"/>
    </xf>
    <xf numFmtId="1" fontId="66" fillId="0" borderId="15" xfId="0" applyNumberFormat="1" applyFont="1" applyBorder="1" applyAlignment="1">
      <alignment horizontal="center" vertical="center"/>
    </xf>
    <xf numFmtId="1" fontId="66" fillId="0" borderId="0" xfId="0" applyNumberFormat="1" applyFont="1" applyFill="1" applyBorder="1" applyAlignment="1">
      <alignment horizontal="center"/>
    </xf>
    <xf numFmtId="1" fontId="66" fillId="0" borderId="0" xfId="0" applyNumberFormat="1" applyFont="1" applyBorder="1" applyAlignment="1">
      <alignment horizontal="center"/>
    </xf>
    <xf numFmtId="1" fontId="66" fillId="0" borderId="8" xfId="0" applyNumberFormat="1" applyFont="1" applyFill="1" applyBorder="1" applyAlignment="1">
      <alignment horizontal="center" vertical="center"/>
    </xf>
    <xf numFmtId="1" fontId="66" fillId="0" borderId="9" xfId="0" applyNumberFormat="1" applyFont="1" applyFill="1" applyBorder="1" applyAlignment="1">
      <alignment horizontal="center" vertical="center"/>
    </xf>
    <xf numFmtId="1" fontId="66" fillId="0" borderId="7" xfId="0" applyNumberFormat="1" applyFont="1" applyFill="1" applyBorder="1" applyAlignment="1">
      <alignment horizontal="center"/>
    </xf>
    <xf numFmtId="1" fontId="66" fillId="0" borderId="7" xfId="0" applyNumberFormat="1" applyFont="1" applyBorder="1" applyAlignment="1">
      <alignment horizontal="center"/>
    </xf>
    <xf numFmtId="1" fontId="66" fillId="0" borderId="11" xfId="0" applyNumberFormat="1" applyFont="1" applyBorder="1" applyAlignment="1">
      <alignment horizontal="center"/>
    </xf>
    <xf numFmtId="1" fontId="66" fillId="0" borderId="1" xfId="0" applyNumberFormat="1" applyFont="1" applyBorder="1" applyAlignment="1">
      <alignment horizontal="center"/>
    </xf>
    <xf numFmtId="0" fontId="13" fillId="0" borderId="5" xfId="0" applyFont="1" applyFill="1" applyBorder="1" applyAlignment="1">
      <alignment horizontal="center"/>
    </xf>
    <xf numFmtId="0" fontId="13" fillId="4" borderId="5" xfId="0" applyFont="1" applyFill="1" applyBorder="1" applyAlignment="1">
      <alignment horizontal="center" vertical="center"/>
    </xf>
    <xf numFmtId="0" fontId="13" fillId="0" borderId="0" xfId="0" applyFont="1" applyFill="1" applyBorder="1" applyAlignment="1">
      <alignment horizontal="left" vertical="center"/>
    </xf>
    <xf numFmtId="1" fontId="13" fillId="0" borderId="5" xfId="0" applyNumberFormat="1" applyFont="1" applyFill="1" applyBorder="1" applyAlignment="1">
      <alignment horizontal="center"/>
    </xf>
    <xf numFmtId="165" fontId="17" fillId="4" borderId="5" xfId="0" applyNumberFormat="1" applyFont="1" applyFill="1" applyBorder="1" applyAlignment="1">
      <alignment horizontal="center" vertical="center"/>
    </xf>
    <xf numFmtId="0" fontId="21" fillId="0" borderId="13" xfId="0" applyFont="1" applyBorder="1" applyAlignment="1">
      <alignment horizontal="left" vertical="top" wrapText="1"/>
    </xf>
    <xf numFmtId="0" fontId="21" fillId="0" borderId="0" xfId="0" applyFont="1" applyFill="1" applyBorder="1" applyAlignment="1">
      <alignment horizontal="right" vertical="center" wrapText="1"/>
    </xf>
    <xf numFmtId="164" fontId="17" fillId="0" borderId="5" xfId="0" applyNumberFormat="1" applyFont="1" applyFill="1" applyBorder="1" applyAlignment="1">
      <alignment horizontal="center" vertical="center"/>
    </xf>
    <xf numFmtId="2" fontId="17" fillId="4" borderId="5" xfId="0" applyNumberFormat="1" applyFont="1" applyFill="1" applyBorder="1" applyAlignment="1">
      <alignment horizontal="center" vertical="center"/>
    </xf>
    <xf numFmtId="164" fontId="14" fillId="0" borderId="0" xfId="0" applyNumberFormat="1" applyFont="1"/>
    <xf numFmtId="0" fontId="23" fillId="8" borderId="0" xfId="0" applyFont="1" applyFill="1" applyAlignment="1">
      <alignment horizontal="right"/>
    </xf>
    <xf numFmtId="0" fontId="17" fillId="2" borderId="12" xfId="0" applyFont="1" applyFill="1" applyBorder="1" applyAlignment="1"/>
    <xf numFmtId="1" fontId="17" fillId="0" borderId="9" xfId="0" applyNumberFormat="1" applyFont="1" applyFill="1" applyBorder="1" applyAlignment="1">
      <alignment horizontal="center"/>
    </xf>
    <xf numFmtId="2" fontId="17" fillId="0" borderId="1" xfId="0" applyNumberFormat="1" applyFont="1" applyFill="1" applyBorder="1" applyAlignment="1">
      <alignment horizontal="center"/>
    </xf>
    <xf numFmtId="0" fontId="17" fillId="2" borderId="4" xfId="0" applyFont="1" applyFill="1" applyBorder="1" applyAlignment="1"/>
    <xf numFmtId="1" fontId="21"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 fontId="17" fillId="4" borderId="5" xfId="0" applyNumberFormat="1" applyFont="1" applyFill="1" applyBorder="1" applyAlignment="1">
      <alignment horizontal="center" vertical="center"/>
    </xf>
    <xf numFmtId="1" fontId="17" fillId="0" borderId="5" xfId="0" applyNumberFormat="1" applyFont="1" applyFill="1" applyBorder="1" applyAlignment="1">
      <alignment horizontal="center" vertical="center"/>
    </xf>
    <xf numFmtId="1" fontId="17" fillId="4" borderId="13" xfId="0" applyNumberFormat="1" applyFont="1" applyFill="1" applyBorder="1" applyAlignment="1">
      <alignment horizontal="center" vertical="center"/>
    </xf>
    <xf numFmtId="1" fontId="17" fillId="0" borderId="5" xfId="0" applyNumberFormat="1" applyFont="1" applyBorder="1" applyAlignment="1">
      <alignment horizontal="center" vertical="center"/>
    </xf>
    <xf numFmtId="1" fontId="24" fillId="0" borderId="13" xfId="0" applyNumberFormat="1" applyFont="1" applyFill="1" applyBorder="1" applyAlignment="1">
      <alignment horizontal="center" vertical="center"/>
    </xf>
    <xf numFmtId="1" fontId="23" fillId="2" borderId="5" xfId="0" applyNumberFormat="1" applyFont="1" applyFill="1" applyBorder="1" applyAlignment="1">
      <alignment horizontal="center"/>
    </xf>
    <xf numFmtId="172" fontId="0" fillId="0" borderId="0" xfId="0" applyNumberFormat="1"/>
    <xf numFmtId="1" fontId="66" fillId="0" borderId="13" xfId="0" applyNumberFormat="1" applyFont="1" applyBorder="1" applyAlignment="1">
      <alignment horizontal="center" vertical="center"/>
    </xf>
    <xf numFmtId="1" fontId="66" fillId="0" borderId="14" xfId="0" applyNumberFormat="1" applyFont="1" applyBorder="1" applyAlignment="1">
      <alignment horizontal="center" vertical="center"/>
    </xf>
    <xf numFmtId="1" fontId="14" fillId="0" borderId="0" xfId="0" applyNumberFormat="1" applyFont="1"/>
    <xf numFmtId="0" fontId="17" fillId="4" borderId="5" xfId="0" applyFont="1" applyFill="1" applyBorder="1" applyAlignment="1">
      <alignment horizontal="center" vertical="center"/>
    </xf>
    <xf numFmtId="1" fontId="66" fillId="2" borderId="15" xfId="0" applyNumberFormat="1" applyFont="1" applyFill="1" applyBorder="1" applyAlignment="1">
      <alignment horizontal="center"/>
    </xf>
    <xf numFmtId="1" fontId="66" fillId="2" borderId="15" xfId="0" applyNumberFormat="1" applyFont="1" applyFill="1" applyBorder="1" applyAlignment="1">
      <alignment horizontal="center" vertical="center"/>
    </xf>
    <xf numFmtId="0" fontId="66" fillId="9" borderId="20" xfId="0" applyFont="1" applyFill="1" applyBorder="1" applyAlignment="1">
      <alignment vertical="center"/>
    </xf>
    <xf numFmtId="1" fontId="66" fillId="9" borderId="5" xfId="0" applyNumberFormat="1" applyFont="1" applyFill="1" applyBorder="1" applyAlignment="1">
      <alignment horizontal="center" vertical="center"/>
    </xf>
    <xf numFmtId="166" fontId="17" fillId="4" borderId="5" xfId="0" applyNumberFormat="1" applyFont="1" applyFill="1" applyBorder="1" applyAlignment="1" applyProtection="1">
      <alignment horizontal="center" vertical="center" wrapText="1"/>
      <protection locked="0"/>
    </xf>
    <xf numFmtId="166" fontId="17" fillId="0" borderId="0" xfId="0" applyNumberFormat="1" applyFont="1" applyFill="1" applyBorder="1" applyAlignment="1" applyProtection="1">
      <alignment horizontal="left" vertical="center" wrapText="1"/>
      <protection locked="0"/>
    </xf>
    <xf numFmtId="166" fontId="21" fillId="0" borderId="0" xfId="0" applyNumberFormat="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top" wrapText="1"/>
      <protection locked="0"/>
    </xf>
    <xf numFmtId="166" fontId="17" fillId="0" borderId="7" xfId="0" applyNumberFormat="1" applyFont="1" applyBorder="1" applyAlignment="1" applyProtection="1">
      <alignment horizontal="left"/>
      <protection locked="0"/>
    </xf>
    <xf numFmtId="166" fontId="17" fillId="0" borderId="0" xfId="0" applyNumberFormat="1" applyFont="1" applyBorder="1" applyAlignment="1" applyProtection="1">
      <alignment horizontal="left"/>
      <protection locked="0"/>
    </xf>
    <xf numFmtId="0" fontId="14" fillId="4" borderId="5" xfId="0" applyFont="1" applyFill="1" applyBorder="1" applyAlignment="1" applyProtection="1">
      <alignment horizontal="center" wrapText="1"/>
      <protection locked="0"/>
    </xf>
    <xf numFmtId="0" fontId="40" fillId="2" borderId="5" xfId="0" applyFont="1" applyFill="1" applyBorder="1" applyAlignment="1">
      <alignment horizontal="center" vertical="center" wrapText="1"/>
    </xf>
    <xf numFmtId="0" fontId="14" fillId="0" borderId="5" xfId="0" applyFont="1" applyFill="1" applyBorder="1" applyAlignment="1" applyProtection="1">
      <alignment horizontal="center" wrapText="1"/>
      <protection locked="0"/>
    </xf>
    <xf numFmtId="0" fontId="39" fillId="5" borderId="1" xfId="0" applyFont="1" applyFill="1" applyBorder="1" applyAlignment="1">
      <alignment horizontal="left" wrapText="1"/>
    </xf>
    <xf numFmtId="0" fontId="10" fillId="5" borderId="0" xfId="0" applyFont="1" applyFill="1" applyAlignment="1">
      <alignment horizontal="right" wrapText="1"/>
    </xf>
    <xf numFmtId="0" fontId="14" fillId="0" borderId="0" xfId="0" applyFont="1" applyBorder="1" applyAlignment="1" applyProtection="1">
      <alignment horizontal="center" wrapText="1"/>
      <protection locked="0"/>
    </xf>
    <xf numFmtId="0" fontId="14" fillId="4" borderId="1" xfId="0" applyFont="1" applyFill="1" applyBorder="1" applyAlignment="1" applyProtection="1">
      <alignment horizontal="left" wrapText="1"/>
      <protection locked="0"/>
    </xf>
    <xf numFmtId="0" fontId="40" fillId="0" borderId="9" xfId="0" applyFont="1" applyBorder="1" applyAlignment="1" applyProtection="1">
      <alignment horizontal="left" wrapText="1"/>
      <protection locked="0"/>
    </xf>
    <xf numFmtId="0" fontId="17" fillId="5" borderId="7" xfId="0" applyFont="1" applyFill="1" applyBorder="1" applyAlignment="1">
      <alignment horizontal="left" vertical="top" wrapText="1"/>
    </xf>
    <xf numFmtId="0" fontId="17" fillId="5" borderId="0" xfId="0" applyFont="1" applyFill="1" applyAlignment="1">
      <alignment horizontal="left" vertical="top" wrapText="1"/>
    </xf>
    <xf numFmtId="0" fontId="14" fillId="7" borderId="0" xfId="0" applyFont="1" applyFill="1" applyAlignment="1">
      <alignment horizontal="center"/>
    </xf>
    <xf numFmtId="0" fontId="13" fillId="4" borderId="2" xfId="0" applyNumberFormat="1" applyFont="1" applyFill="1" applyBorder="1" applyAlignment="1">
      <alignment horizontal="left" vertical="center"/>
    </xf>
    <xf numFmtId="0" fontId="13" fillId="4" borderId="3" xfId="0" applyNumberFormat="1" applyFont="1" applyFill="1" applyBorder="1" applyAlignment="1">
      <alignment horizontal="left" vertical="center"/>
    </xf>
    <xf numFmtId="0" fontId="13" fillId="4" borderId="4" xfId="0" applyNumberFormat="1" applyFont="1" applyFill="1" applyBorder="1" applyAlignment="1">
      <alignment horizontal="left" vertical="center"/>
    </xf>
    <xf numFmtId="0" fontId="13" fillId="0" borderId="0" xfId="0" applyFont="1" applyAlignment="1">
      <alignment horizontal="right" vertical="center"/>
    </xf>
    <xf numFmtId="49" fontId="13" fillId="4" borderId="2" xfId="0" applyNumberFormat="1" applyFont="1" applyFill="1" applyBorder="1" applyAlignment="1">
      <alignment horizontal="left" vertical="center"/>
    </xf>
    <xf numFmtId="49" fontId="13" fillId="4" borderId="3" xfId="0" applyNumberFormat="1" applyFont="1" applyFill="1" applyBorder="1" applyAlignment="1">
      <alignment horizontal="left" vertical="center"/>
    </xf>
    <xf numFmtId="49" fontId="13" fillId="4" borderId="4" xfId="0" applyNumberFormat="1" applyFont="1" applyFill="1" applyBorder="1" applyAlignment="1">
      <alignment horizontal="left" vertical="center"/>
    </xf>
    <xf numFmtId="166" fontId="39" fillId="0" borderId="0" xfId="0" applyNumberFormat="1" applyFont="1" applyAlignment="1" applyProtection="1">
      <alignment horizontal="left" wrapText="1"/>
      <protection locked="0"/>
    </xf>
    <xf numFmtId="0" fontId="14" fillId="4" borderId="0" xfId="0" applyFont="1" applyFill="1" applyAlignment="1">
      <alignment horizontal="center"/>
    </xf>
    <xf numFmtId="0" fontId="41" fillId="0" borderId="0" xfId="0" applyFont="1" applyBorder="1" applyAlignment="1" applyProtection="1">
      <alignment horizontal="right" wrapText="1"/>
      <protection locked="0"/>
    </xf>
    <xf numFmtId="0" fontId="39" fillId="5" borderId="0" xfId="0" applyFont="1" applyFill="1" applyAlignment="1">
      <alignment horizontal="left" wrapText="1"/>
    </xf>
    <xf numFmtId="0" fontId="10" fillId="0" borderId="0" xfId="0" applyFont="1" applyAlignment="1">
      <alignment horizontal="left"/>
    </xf>
    <xf numFmtId="0" fontId="10" fillId="4" borderId="1" xfId="0" applyFont="1" applyFill="1" applyBorder="1" applyAlignment="1">
      <alignment horizontal="center"/>
    </xf>
    <xf numFmtId="0" fontId="21" fillId="2" borderId="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39" fillId="0" borderId="0" xfId="0" applyFont="1" applyFill="1" applyBorder="1" applyAlignment="1" applyProtection="1">
      <alignment horizontal="right" wrapText="1"/>
      <protection locked="0"/>
    </xf>
    <xf numFmtId="0" fontId="14"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166" fontId="17" fillId="0" borderId="0" xfId="0" applyNumberFormat="1" applyFont="1" applyAlignment="1" applyProtection="1">
      <alignment horizontal="left" vertical="center" wrapText="1"/>
      <protection locked="0"/>
    </xf>
    <xf numFmtId="0" fontId="17" fillId="7" borderId="2"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wrapText="1"/>
      <protection locked="0"/>
    </xf>
    <xf numFmtId="0" fontId="17" fillId="7" borderId="4" xfId="0" applyFont="1" applyFill="1" applyBorder="1" applyAlignment="1" applyProtection="1">
      <alignment horizontal="center" vertical="center" wrapText="1"/>
      <protection locked="0"/>
    </xf>
    <xf numFmtId="0" fontId="51" fillId="0" borderId="0" xfId="0" applyFont="1" applyBorder="1" applyAlignment="1">
      <alignment horizontal="right"/>
    </xf>
    <xf numFmtId="0" fontId="37" fillId="0" borderId="5" xfId="0" applyFont="1" applyFill="1" applyBorder="1" applyAlignment="1">
      <alignment horizontal="center" vertical="center"/>
    </xf>
    <xf numFmtId="0" fontId="13" fillId="5" borderId="0" xfId="0" applyFont="1" applyFill="1" applyAlignment="1">
      <alignment horizontal="left" vertical="top" wrapText="1"/>
    </xf>
    <xf numFmtId="0" fontId="17" fillId="0" borderId="0" xfId="0" applyFont="1" applyAlignment="1" applyProtection="1">
      <alignment horizontal="center" wrapText="1"/>
      <protection locked="0"/>
    </xf>
    <xf numFmtId="166" fontId="17" fillId="0" borderId="0" xfId="0" applyNumberFormat="1" applyFont="1" applyAlignment="1" applyProtection="1">
      <alignment horizontal="right" vertical="center" wrapText="1"/>
      <protection locked="0"/>
    </xf>
    <xf numFmtId="0" fontId="39" fillId="0" borderId="0" xfId="0" applyFont="1" applyBorder="1" applyAlignment="1" applyProtection="1">
      <alignment horizontal="right" wrapText="1"/>
      <protection locked="0"/>
    </xf>
    <xf numFmtId="165" fontId="32" fillId="0" borderId="2" xfId="3" applyNumberFormat="1" applyFont="1" applyBorder="1" applyAlignment="1">
      <alignment horizontal="left" vertical="center"/>
    </xf>
    <xf numFmtId="165" fontId="32" fillId="0" borderId="3" xfId="3" applyNumberFormat="1" applyFont="1" applyBorder="1" applyAlignment="1">
      <alignment horizontal="left" vertical="center"/>
    </xf>
    <xf numFmtId="165" fontId="32" fillId="0" borderId="1" xfId="3" applyNumberFormat="1" applyFont="1" applyBorder="1" applyAlignment="1">
      <alignment horizontal="left" vertical="center"/>
    </xf>
    <xf numFmtId="165" fontId="32" fillId="0" borderId="4" xfId="3" applyNumberFormat="1" applyFont="1" applyBorder="1" applyAlignment="1">
      <alignment horizontal="left" vertical="center"/>
    </xf>
    <xf numFmtId="0" fontId="19" fillId="0" borderId="0" xfId="3" applyFont="1" applyBorder="1" applyAlignment="1">
      <alignment horizontal="left"/>
    </xf>
    <xf numFmtId="0" fontId="31" fillId="2" borderId="13" xfId="3" applyFont="1" applyFill="1" applyBorder="1" applyAlignment="1">
      <alignment horizontal="center" vertical="center"/>
    </xf>
    <xf numFmtId="0" fontId="36" fillId="2" borderId="13" xfId="3" applyFont="1" applyFill="1" applyBorder="1" applyAlignment="1">
      <alignment horizontal="center" vertical="center"/>
    </xf>
    <xf numFmtId="1" fontId="28" fillId="0" borderId="5" xfId="3" applyNumberFormat="1" applyFont="1" applyFill="1" applyBorder="1" applyAlignment="1">
      <alignment horizontal="center" vertical="center"/>
    </xf>
    <xf numFmtId="165" fontId="28" fillId="0" borderId="5" xfId="3" applyNumberFormat="1" applyFont="1" applyBorder="1" applyAlignment="1">
      <alignment horizontal="center" vertical="center"/>
    </xf>
    <xf numFmtId="0" fontId="35" fillId="0" borderId="5" xfId="3" applyFont="1" applyFill="1" applyBorder="1" applyAlignment="1">
      <alignment horizontal="center" vertical="center"/>
    </xf>
    <xf numFmtId="0" fontId="17" fillId="0" borderId="5" xfId="3" applyFont="1" applyBorder="1" applyAlignment="1">
      <alignment horizontal="right" vertical="center"/>
    </xf>
    <xf numFmtId="0" fontId="23" fillId="0" borderId="5" xfId="3" applyFont="1" applyFill="1" applyBorder="1" applyAlignment="1">
      <alignment horizontal="center" vertical="center"/>
    </xf>
    <xf numFmtId="0" fontId="28" fillId="0" borderId="2" xfId="3" applyFont="1" applyFill="1" applyBorder="1" applyAlignment="1">
      <alignment horizontal="left" vertical="center"/>
    </xf>
    <xf numFmtId="0" fontId="28" fillId="0" borderId="3" xfId="3" applyFont="1" applyFill="1" applyBorder="1" applyAlignment="1">
      <alignment horizontal="left" vertical="center"/>
    </xf>
    <xf numFmtId="0" fontId="28" fillId="0" borderId="4" xfId="3" applyFont="1" applyFill="1" applyBorder="1" applyAlignment="1">
      <alignment horizontal="left" vertical="center"/>
    </xf>
    <xf numFmtId="170" fontId="27" fillId="4" borderId="2" xfId="3" applyNumberFormat="1" applyFont="1" applyFill="1" applyBorder="1" applyAlignment="1">
      <alignment horizontal="center" vertical="center"/>
    </xf>
    <xf numFmtId="170" fontId="27" fillId="4" borderId="3" xfId="3" applyNumberFormat="1" applyFont="1" applyFill="1" applyBorder="1" applyAlignment="1">
      <alignment horizontal="center" vertical="center"/>
    </xf>
    <xf numFmtId="170" fontId="27" fillId="4" borderId="4" xfId="3" applyNumberFormat="1" applyFont="1" applyFill="1" applyBorder="1" applyAlignment="1">
      <alignment horizontal="center" vertical="center"/>
    </xf>
    <xf numFmtId="1" fontId="17" fillId="0" borderId="5" xfId="3" applyNumberFormat="1" applyFont="1" applyBorder="1" applyAlignment="1">
      <alignment horizontal="center" vertical="center"/>
    </xf>
    <xf numFmtId="165" fontId="17" fillId="0" borderId="2" xfId="3" applyNumberFormat="1" applyFont="1" applyFill="1" applyBorder="1" applyAlignment="1">
      <alignment horizontal="left" vertical="center"/>
    </xf>
    <xf numFmtId="165" fontId="17" fillId="0" borderId="4" xfId="3" applyNumberFormat="1" applyFont="1" applyFill="1" applyBorder="1" applyAlignment="1">
      <alignment horizontal="left" vertical="center"/>
    </xf>
    <xf numFmtId="0" fontId="20" fillId="0" borderId="13" xfId="3" applyFont="1" applyBorder="1" applyAlignment="1">
      <alignment horizontal="center" vertical="center"/>
    </xf>
    <xf numFmtId="0" fontId="20" fillId="0" borderId="14" xfId="3" applyFont="1" applyBorder="1" applyAlignment="1">
      <alignment horizontal="center" vertical="center"/>
    </xf>
    <xf numFmtId="0" fontId="20" fillId="0" borderId="15" xfId="3" applyFont="1" applyBorder="1" applyAlignment="1">
      <alignment horizontal="center" vertical="center"/>
    </xf>
    <xf numFmtId="165" fontId="17" fillId="0" borderId="13" xfId="3" applyNumberFormat="1" applyFont="1" applyFill="1" applyBorder="1" applyAlignment="1">
      <alignment horizontal="center" vertical="center"/>
    </xf>
    <xf numFmtId="165" fontId="17" fillId="0" borderId="14" xfId="3" applyNumberFormat="1" applyFont="1" applyFill="1" applyBorder="1" applyAlignment="1">
      <alignment horizontal="center" vertical="center"/>
    </xf>
    <xf numFmtId="165" fontId="17" fillId="0" borderId="15" xfId="3" applyNumberFormat="1" applyFont="1" applyFill="1" applyBorder="1" applyAlignment="1">
      <alignment horizontal="center" vertical="center"/>
    </xf>
    <xf numFmtId="165" fontId="17" fillId="0" borderId="13" xfId="3" applyNumberFormat="1" applyFont="1" applyFill="1" applyBorder="1" applyAlignment="1">
      <alignment horizontal="center" vertical="center" wrapText="1"/>
    </xf>
    <xf numFmtId="165" fontId="17" fillId="0" borderId="14" xfId="3" applyNumberFormat="1" applyFont="1" applyFill="1" applyBorder="1" applyAlignment="1">
      <alignment horizontal="center" vertical="center" wrapText="1"/>
    </xf>
    <xf numFmtId="165" fontId="17" fillId="0" borderId="15" xfId="3"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7" fillId="2" borderId="5" xfId="3" applyFont="1" applyFill="1" applyBorder="1" applyAlignment="1">
      <alignment horizontal="center" vertical="center"/>
    </xf>
    <xf numFmtId="2" fontId="17" fillId="0" borderId="5" xfId="0" applyNumberFormat="1" applyFont="1" applyBorder="1" applyAlignment="1">
      <alignment horizontal="center" vertical="center"/>
    </xf>
    <xf numFmtId="0" fontId="21" fillId="2" borderId="5" xfId="3" applyFont="1" applyFill="1" applyBorder="1" applyAlignment="1">
      <alignment horizontal="center" vertical="center" wrapText="1"/>
    </xf>
    <xf numFmtId="0" fontId="44" fillId="2" borderId="5" xfId="3" applyFont="1" applyFill="1" applyBorder="1" applyAlignment="1">
      <alignment horizontal="center" vertical="center" wrapText="1"/>
    </xf>
    <xf numFmtId="0" fontId="31" fillId="2" borderId="5" xfId="0" applyFont="1" applyFill="1" applyBorder="1" applyAlignment="1">
      <alignment horizontal="center" vertical="center"/>
    </xf>
    <xf numFmtId="0" fontId="44" fillId="2" borderId="5" xfId="3" applyFont="1" applyFill="1" applyBorder="1" applyAlignment="1">
      <alignment horizontal="center" vertical="center"/>
    </xf>
    <xf numFmtId="0" fontId="20" fillId="2" borderId="5" xfId="3" applyFont="1" applyFill="1" applyBorder="1" applyAlignment="1">
      <alignment horizontal="center" vertical="center"/>
    </xf>
    <xf numFmtId="0" fontId="20" fillId="2" borderId="5" xfId="3" applyFont="1" applyFill="1" applyBorder="1" applyAlignment="1">
      <alignment horizontal="center" vertical="center" wrapText="1"/>
    </xf>
    <xf numFmtId="165" fontId="10" fillId="0" borderId="2" xfId="0" applyNumberFormat="1" applyFont="1" applyFill="1" applyBorder="1" applyAlignment="1">
      <alignment horizontal="center" vertical="center"/>
    </xf>
    <xf numFmtId="165" fontId="10" fillId="0" borderId="4" xfId="0" applyNumberFormat="1" applyFont="1" applyFill="1" applyBorder="1" applyAlignment="1">
      <alignment horizontal="center" vertical="center"/>
    </xf>
    <xf numFmtId="165" fontId="17" fillId="4" borderId="2" xfId="3" applyNumberFormat="1" applyFont="1" applyFill="1" applyBorder="1" applyAlignment="1">
      <alignment horizontal="left" vertical="center"/>
    </xf>
    <xf numFmtId="165" fontId="17" fillId="4" borderId="3" xfId="3" applyNumberFormat="1" applyFont="1" applyFill="1" applyBorder="1" applyAlignment="1">
      <alignment horizontal="left" vertical="center"/>
    </xf>
    <xf numFmtId="165" fontId="17" fillId="4" borderId="4" xfId="3" applyNumberFormat="1" applyFont="1" applyFill="1" applyBorder="1" applyAlignment="1">
      <alignment horizontal="left" vertical="center"/>
    </xf>
    <xf numFmtId="1" fontId="29" fillId="0" borderId="5" xfId="3" applyNumberFormat="1" applyFont="1" applyBorder="1" applyAlignment="1">
      <alignment horizontal="center" vertical="center"/>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21" fillId="0" borderId="7" xfId="2" applyFont="1" applyBorder="1" applyAlignment="1">
      <alignment horizontal="left" vertical="center"/>
    </xf>
    <xf numFmtId="0" fontId="21" fillId="0" borderId="0" xfId="2" applyFont="1" applyAlignment="1">
      <alignment horizontal="left" vertical="center"/>
    </xf>
    <xf numFmtId="0" fontId="17" fillId="0" borderId="2" xfId="2" applyFont="1" applyFill="1" applyBorder="1" applyAlignment="1">
      <alignment horizontal="left"/>
    </xf>
    <xf numFmtId="0" fontId="17" fillId="0" borderId="3" xfId="2" applyFont="1" applyFill="1" applyBorder="1" applyAlignment="1">
      <alignment horizontal="left"/>
    </xf>
    <xf numFmtId="0" fontId="17" fillId="0" borderId="4" xfId="2" applyFont="1" applyFill="1" applyBorder="1" applyAlignment="1">
      <alignment horizontal="left"/>
    </xf>
    <xf numFmtId="0" fontId="17" fillId="0" borderId="2" xfId="2" applyNumberFormat="1" applyFont="1" applyFill="1" applyBorder="1" applyAlignment="1">
      <alignment horizontal="left"/>
    </xf>
    <xf numFmtId="0" fontId="17" fillId="0" borderId="3" xfId="2" applyNumberFormat="1" applyFont="1" applyFill="1" applyBorder="1" applyAlignment="1">
      <alignment horizontal="left"/>
    </xf>
    <xf numFmtId="0" fontId="17" fillId="0" borderId="4" xfId="2" applyNumberFormat="1" applyFont="1" applyFill="1" applyBorder="1" applyAlignment="1">
      <alignment horizontal="left"/>
    </xf>
    <xf numFmtId="0" fontId="17" fillId="0" borderId="0" xfId="0" applyFont="1" applyAlignment="1">
      <alignment horizontal="center"/>
    </xf>
    <xf numFmtId="0" fontId="44" fillId="2" borderId="5" xfId="0" applyFont="1" applyFill="1" applyBorder="1" applyAlignment="1">
      <alignment horizontal="center" vertical="center"/>
    </xf>
    <xf numFmtId="0" fontId="31" fillId="2" borderId="5" xfId="3" applyFont="1" applyFill="1" applyBorder="1" applyAlignment="1">
      <alignment horizontal="center" vertical="center"/>
    </xf>
    <xf numFmtId="0" fontId="41" fillId="2" borderId="8" xfId="3" applyFont="1" applyFill="1" applyBorder="1" applyAlignment="1">
      <alignment horizontal="center" vertical="center"/>
    </xf>
    <xf numFmtId="0" fontId="41" fillId="2" borderId="9" xfId="3" applyFont="1" applyFill="1" applyBorder="1" applyAlignment="1">
      <alignment horizontal="center" vertical="center"/>
    </xf>
    <xf numFmtId="0" fontId="41" fillId="2" borderId="10" xfId="3" applyFont="1" applyFill="1" applyBorder="1" applyAlignment="1">
      <alignment horizontal="center" vertical="center"/>
    </xf>
    <xf numFmtId="0" fontId="41" fillId="2" borderId="11" xfId="3" applyFont="1" applyFill="1" applyBorder="1" applyAlignment="1">
      <alignment horizontal="center" vertical="center"/>
    </xf>
    <xf numFmtId="0" fontId="41" fillId="2" borderId="1" xfId="3" applyFont="1" applyFill="1" applyBorder="1" applyAlignment="1">
      <alignment horizontal="center" vertical="center"/>
    </xf>
    <xf numFmtId="0" fontId="41" fillId="2" borderId="12" xfId="3" applyFont="1" applyFill="1" applyBorder="1" applyAlignment="1">
      <alignment horizontal="center" vertical="center"/>
    </xf>
    <xf numFmtId="0" fontId="17" fillId="7" borderId="2" xfId="2" applyFont="1" applyFill="1" applyBorder="1" applyAlignment="1">
      <alignment horizontal="left" vertical="center"/>
    </xf>
    <xf numFmtId="0" fontId="17" fillId="7" borderId="3" xfId="2" applyFont="1" applyFill="1" applyBorder="1" applyAlignment="1">
      <alignment horizontal="left" vertical="center"/>
    </xf>
    <xf numFmtId="0" fontId="17" fillId="7" borderId="4" xfId="2" applyFont="1" applyFill="1" applyBorder="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right" vertical="center"/>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3" fillId="0" borderId="1" xfId="2" applyFont="1" applyBorder="1" applyAlignment="1">
      <alignment horizontal="left"/>
    </xf>
    <xf numFmtId="165" fontId="17" fillId="0" borderId="3" xfId="3" applyNumberFormat="1" applyFont="1" applyFill="1" applyBorder="1" applyAlignment="1">
      <alignment horizontal="left" vertical="center"/>
    </xf>
    <xf numFmtId="1" fontId="32" fillId="0" borderId="5" xfId="3" applyNumberFormat="1" applyFont="1" applyFill="1" applyBorder="1" applyAlignment="1">
      <alignment horizontal="center" vertical="center"/>
    </xf>
    <xf numFmtId="0" fontId="29" fillId="0" borderId="2" xfId="2" applyFont="1" applyBorder="1" applyAlignment="1">
      <alignment horizontal="left" vertical="center" wrapText="1"/>
    </xf>
    <xf numFmtId="0" fontId="29" fillId="0" borderId="3" xfId="2" applyFont="1" applyBorder="1" applyAlignment="1">
      <alignment horizontal="left" vertical="center" wrapText="1"/>
    </xf>
    <xf numFmtId="0" fontId="23" fillId="0" borderId="0" xfId="3" applyFont="1" applyBorder="1" applyAlignment="1">
      <alignment horizontal="right" vertical="center"/>
    </xf>
    <xf numFmtId="0" fontId="20" fillId="2" borderId="13" xfId="3" applyFont="1" applyFill="1" applyBorder="1" applyAlignment="1">
      <alignment horizontal="center" vertical="center"/>
    </xf>
    <xf numFmtId="165" fontId="29" fillId="0" borderId="4" xfId="3" applyNumberFormat="1" applyFont="1" applyBorder="1" applyAlignment="1">
      <alignment horizontal="center" vertical="center"/>
    </xf>
    <xf numFmtId="165" fontId="29" fillId="0" borderId="5" xfId="3" applyNumberFormat="1" applyFont="1" applyBorder="1" applyAlignment="1">
      <alignment horizontal="center" vertical="center"/>
    </xf>
    <xf numFmtId="0" fontId="17" fillId="0" borderId="5" xfId="3" applyFont="1" applyBorder="1" applyAlignment="1">
      <alignment horizontal="center" vertical="center"/>
    </xf>
    <xf numFmtId="0" fontId="17" fillId="0" borderId="2" xfId="3" applyFont="1" applyBorder="1" applyAlignment="1">
      <alignment horizontal="center" vertical="center"/>
    </xf>
    <xf numFmtId="0" fontId="23" fillId="0" borderId="0" xfId="2" applyFont="1" applyBorder="1" applyAlignment="1">
      <alignment horizontal="left" vertical="center"/>
    </xf>
    <xf numFmtId="0" fontId="73" fillId="2" borderId="5" xfId="0" applyFont="1" applyFill="1" applyBorder="1" applyAlignment="1">
      <alignment horizontal="center" vertical="center" wrapText="1"/>
    </xf>
    <xf numFmtId="1" fontId="29" fillId="4" borderId="5" xfId="3" applyNumberFormat="1" applyFont="1" applyFill="1" applyBorder="1" applyAlignment="1">
      <alignment horizontal="center" vertical="center"/>
    </xf>
    <xf numFmtId="2" fontId="17" fillId="4" borderId="2" xfId="3" applyNumberFormat="1" applyFont="1" applyFill="1" applyBorder="1" applyAlignment="1">
      <alignment horizontal="center" vertical="center"/>
    </xf>
    <xf numFmtId="2" fontId="17" fillId="4" borderId="3" xfId="3" applyNumberFormat="1" applyFont="1" applyFill="1" applyBorder="1" applyAlignment="1">
      <alignment horizontal="center" vertical="center"/>
    </xf>
    <xf numFmtId="2" fontId="17" fillId="4" borderId="4" xfId="3" applyNumberFormat="1" applyFont="1" applyFill="1" applyBorder="1" applyAlignment="1">
      <alignment horizontal="center" vertical="center"/>
    </xf>
    <xf numFmtId="0" fontId="16" fillId="0" borderId="9" xfId="0" applyFont="1" applyBorder="1" applyAlignment="1">
      <alignment horizontal="left" vertical="center"/>
    </xf>
    <xf numFmtId="0" fontId="23" fillId="0" borderId="0" xfId="3" applyFont="1" applyBorder="1" applyAlignment="1">
      <alignment horizontal="right" vertical="center" wrapText="1"/>
    </xf>
    <xf numFmtId="0" fontId="23" fillId="0" borderId="0" xfId="0" applyFont="1" applyBorder="1" applyAlignment="1">
      <alignment horizontal="right" vertical="center"/>
    </xf>
    <xf numFmtId="0" fontId="17" fillId="7" borderId="0" xfId="0" applyFont="1" applyFill="1" applyAlignment="1">
      <alignment horizontal="center"/>
    </xf>
    <xf numFmtId="0" fontId="17" fillId="4" borderId="0" xfId="0" applyFont="1" applyFill="1" applyAlignment="1">
      <alignment horizontal="center"/>
    </xf>
    <xf numFmtId="1" fontId="24" fillId="0" borderId="3" xfId="3" applyNumberFormat="1" applyFont="1" applyBorder="1" applyAlignment="1">
      <alignment horizontal="center" vertical="center"/>
    </xf>
    <xf numFmtId="1" fontId="24" fillId="0" borderId="4" xfId="3" applyNumberFormat="1" applyFont="1" applyBorder="1" applyAlignment="1">
      <alignment horizontal="center" vertical="center"/>
    </xf>
    <xf numFmtId="0" fontId="21" fillId="0" borderId="0" xfId="3" applyFont="1" applyBorder="1" applyAlignment="1">
      <alignment horizontal="center"/>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4" xfId="0" applyFont="1" applyFill="1" applyBorder="1" applyAlignment="1">
      <alignment horizontal="center" vertical="center"/>
    </xf>
    <xf numFmtId="165" fontId="10" fillId="4" borderId="2" xfId="0" applyNumberFormat="1" applyFont="1" applyFill="1" applyBorder="1" applyAlignment="1">
      <alignment horizontal="center" vertical="center"/>
    </xf>
    <xf numFmtId="165" fontId="10" fillId="4" borderId="4" xfId="0" applyNumberFormat="1" applyFont="1" applyFill="1" applyBorder="1" applyAlignment="1">
      <alignment horizontal="center" vertical="center"/>
    </xf>
    <xf numFmtId="165" fontId="19" fillId="2" borderId="2" xfId="3" applyNumberFormat="1" applyFont="1" applyFill="1" applyBorder="1" applyAlignment="1">
      <alignment horizontal="center"/>
    </xf>
    <xf numFmtId="165" fontId="19" fillId="2" borderId="3" xfId="3" applyNumberFormat="1" applyFont="1" applyFill="1" applyBorder="1" applyAlignment="1">
      <alignment horizontal="center"/>
    </xf>
    <xf numFmtId="165" fontId="19" fillId="2" borderId="4" xfId="3" applyNumberFormat="1" applyFont="1" applyFill="1" applyBorder="1" applyAlignment="1">
      <alignment horizontal="center"/>
    </xf>
    <xf numFmtId="0" fontId="21" fillId="2" borderId="13" xfId="0" applyFont="1" applyFill="1" applyBorder="1" applyAlignment="1">
      <alignment horizontal="center" vertical="center"/>
    </xf>
    <xf numFmtId="0" fontId="21" fillId="2" borderId="15" xfId="0" applyFont="1" applyFill="1" applyBorder="1" applyAlignment="1">
      <alignment horizontal="center" vertical="center"/>
    </xf>
    <xf numFmtId="1" fontId="32" fillId="0" borderId="15" xfId="3" applyNumberFormat="1" applyFont="1" applyFill="1" applyBorder="1" applyAlignment="1">
      <alignment horizontal="center" vertical="center"/>
    </xf>
    <xf numFmtId="2" fontId="17" fillId="0" borderId="5" xfId="3" applyNumberFormat="1" applyFont="1" applyFill="1" applyBorder="1" applyAlignment="1">
      <alignment horizontal="center" vertical="center"/>
    </xf>
    <xf numFmtId="1" fontId="32" fillId="2" borderId="5" xfId="3" applyNumberFormat="1" applyFont="1" applyFill="1" applyBorder="1" applyAlignment="1">
      <alignment horizontal="center" vertical="center"/>
    </xf>
    <xf numFmtId="0" fontId="28" fillId="0" borderId="2" xfId="3" applyFont="1" applyBorder="1" applyAlignment="1">
      <alignment horizontal="left" vertical="center"/>
    </xf>
    <xf numFmtId="0" fontId="28" fillId="0" borderId="3" xfId="3" applyFont="1" applyBorder="1" applyAlignment="1">
      <alignment horizontal="left" vertical="center"/>
    </xf>
    <xf numFmtId="0" fontId="28" fillId="0" borderId="4" xfId="3" applyFont="1" applyBorder="1" applyAlignment="1">
      <alignment horizontal="left" vertical="center"/>
    </xf>
    <xf numFmtId="0" fontId="56" fillId="0" borderId="0" xfId="3" applyFont="1" applyBorder="1" applyAlignment="1">
      <alignment horizontal="left" vertical="top"/>
    </xf>
    <xf numFmtId="0" fontId="20" fillId="0" borderId="13" xfId="3" applyNumberFormat="1" applyFont="1" applyBorder="1" applyAlignment="1">
      <alignment horizontal="center" vertical="center"/>
    </xf>
    <xf numFmtId="0" fontId="20" fillId="0" borderId="14" xfId="3" applyNumberFormat="1" applyFont="1" applyBorder="1" applyAlignment="1">
      <alignment horizontal="center" vertical="center"/>
    </xf>
    <xf numFmtId="0" fontId="20" fillId="0" borderId="15" xfId="3" applyNumberFormat="1" applyFont="1" applyBorder="1" applyAlignment="1">
      <alignment horizontal="center" vertical="center"/>
    </xf>
    <xf numFmtId="0" fontId="17" fillId="0" borderId="2" xfId="2" applyFont="1" applyFill="1" applyBorder="1" applyAlignment="1">
      <alignment horizontal="left" vertical="center"/>
    </xf>
    <xf numFmtId="0" fontId="17" fillId="0" borderId="3" xfId="2" applyFont="1" applyFill="1" applyBorder="1" applyAlignment="1">
      <alignment horizontal="left" vertical="center"/>
    </xf>
    <xf numFmtId="0" fontId="17" fillId="0" borderId="4" xfId="2" applyFont="1" applyFill="1" applyBorder="1" applyAlignment="1">
      <alignment horizontal="left" vertical="center"/>
    </xf>
    <xf numFmtId="0" fontId="17" fillId="0" borderId="0" xfId="0" applyFont="1" applyFill="1" applyAlignment="1">
      <alignment horizontal="center"/>
    </xf>
    <xf numFmtId="1" fontId="29" fillId="0" borderId="13" xfId="3" applyNumberFormat="1" applyFont="1" applyBorder="1" applyAlignment="1">
      <alignment horizontal="center" vertical="center"/>
    </xf>
    <xf numFmtId="1" fontId="29" fillId="4" borderId="2" xfId="3" applyNumberFormat="1" applyFont="1" applyFill="1" applyBorder="1" applyAlignment="1">
      <alignment horizontal="center" vertical="center"/>
    </xf>
    <xf numFmtId="1" fontId="29" fillId="4" borderId="3" xfId="3" applyNumberFormat="1" applyFont="1" applyFill="1" applyBorder="1" applyAlignment="1">
      <alignment horizontal="center" vertical="center"/>
    </xf>
    <xf numFmtId="1" fontId="29" fillId="4" borderId="4" xfId="3" applyNumberFormat="1" applyFont="1" applyFill="1" applyBorder="1" applyAlignment="1">
      <alignment horizontal="center" vertical="center"/>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23" fillId="8" borderId="1" xfId="0" applyFont="1" applyFill="1" applyBorder="1" applyAlignment="1">
      <alignment horizontal="left" vertical="center"/>
    </xf>
    <xf numFmtId="0" fontId="35" fillId="2" borderId="4" xfId="0" applyFont="1" applyFill="1" applyBorder="1" applyAlignment="1">
      <alignment horizontal="center" vertical="center"/>
    </xf>
    <xf numFmtId="0" fontId="35" fillId="2" borderId="10" xfId="0" applyFont="1" applyFill="1" applyBorder="1" applyAlignment="1">
      <alignment horizontal="center" vertical="center"/>
    </xf>
    <xf numFmtId="0" fontId="14" fillId="0" borderId="0" xfId="0" applyFont="1" applyAlignment="1">
      <alignment horizontal="left" vertical="top"/>
    </xf>
    <xf numFmtId="0" fontId="78" fillId="0" borderId="0" xfId="0" applyFont="1" applyAlignment="1">
      <alignment horizontal="left" vertical="top" wrapText="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8" borderId="8"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14" fillId="0" borderId="0" xfId="0" applyFont="1" applyAlignment="1">
      <alignment horizontal="center"/>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21" fillId="0" borderId="13" xfId="0" applyFont="1" applyBorder="1" applyAlignment="1">
      <alignment horizontal="left" vertical="top"/>
    </xf>
    <xf numFmtId="0" fontId="21" fillId="0" borderId="15" xfId="0" applyFont="1" applyBorder="1" applyAlignment="1">
      <alignment horizontal="left" vertical="top"/>
    </xf>
    <xf numFmtId="1" fontId="17" fillId="4" borderId="5" xfId="0" applyNumberFormat="1" applyFont="1" applyFill="1" applyBorder="1" applyAlignment="1">
      <alignment horizontal="center"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44" fillId="0" borderId="0" xfId="0" applyFont="1" applyBorder="1" applyAlignment="1">
      <alignment horizontal="right" vertical="center"/>
    </xf>
    <xf numFmtId="0" fontId="21" fillId="0" borderId="14" xfId="0" applyFont="1" applyBorder="1" applyAlignment="1">
      <alignment horizontal="left" vertical="top"/>
    </xf>
    <xf numFmtId="1" fontId="17" fillId="0" borderId="13" xfId="0" applyNumberFormat="1" applyFont="1" applyFill="1" applyBorder="1" applyAlignment="1">
      <alignment horizontal="center" vertical="center"/>
    </xf>
    <xf numFmtId="1" fontId="17" fillId="0" borderId="14"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1" fontId="17" fillId="4" borderId="13" xfId="0" applyNumberFormat="1" applyFont="1" applyFill="1" applyBorder="1" applyAlignment="1">
      <alignment horizontal="center" vertical="center" wrapText="1"/>
    </xf>
    <xf numFmtId="1" fontId="17" fillId="4" borderId="14" xfId="0" applyNumberFormat="1" applyFont="1" applyFill="1" applyBorder="1" applyAlignment="1">
      <alignment horizontal="center" vertical="center" wrapText="1"/>
    </xf>
    <xf numFmtId="1" fontId="17" fillId="4" borderId="15" xfId="0" applyNumberFormat="1" applyFont="1" applyFill="1" applyBorder="1" applyAlignment="1">
      <alignment horizontal="center" vertical="center" wrapText="1"/>
    </xf>
    <xf numFmtId="0" fontId="21" fillId="0" borderId="0" xfId="0" applyFont="1" applyFill="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3" xfId="0" applyFont="1" applyFill="1" applyBorder="1" applyAlignment="1">
      <alignment horizontal="right" vertical="center"/>
    </xf>
    <xf numFmtId="0" fontId="21" fillId="0" borderId="8" xfId="0" applyFont="1" applyFill="1" applyBorder="1" applyAlignment="1">
      <alignment horizontal="right" vertical="center"/>
    </xf>
    <xf numFmtId="0" fontId="21" fillId="0" borderId="10" xfId="0" applyFont="1" applyFill="1" applyBorder="1" applyAlignment="1">
      <alignment horizontal="right" vertical="center"/>
    </xf>
    <xf numFmtId="0" fontId="21" fillId="0" borderId="2" xfId="0" applyFont="1" applyBorder="1" applyAlignment="1">
      <alignment horizontal="right" vertical="center"/>
    </xf>
    <xf numFmtId="0" fontId="21" fillId="0" borderId="4" xfId="0" applyFont="1" applyBorder="1" applyAlignment="1">
      <alignment horizontal="right" vertical="center"/>
    </xf>
    <xf numFmtId="10" fontId="44" fillId="0" borderId="13" xfId="0" applyNumberFormat="1" applyFont="1" applyBorder="1" applyAlignment="1">
      <alignment horizontal="center" vertical="center"/>
    </xf>
    <xf numFmtId="10" fontId="44" fillId="0" borderId="15" xfId="0" applyNumberFormat="1" applyFont="1" applyBorder="1" applyAlignment="1">
      <alignment horizontal="center" vertical="center"/>
    </xf>
    <xf numFmtId="0" fontId="40" fillId="0" borderId="0" xfId="0" applyFont="1" applyBorder="1" applyAlignment="1">
      <alignment horizontal="left" vertical="top" wrapText="1"/>
    </xf>
    <xf numFmtId="0" fontId="74" fillId="8" borderId="2" xfId="0" applyFont="1" applyFill="1" applyBorder="1" applyAlignment="1">
      <alignment horizontal="left" vertical="center" wrapText="1"/>
    </xf>
    <xf numFmtId="0" fontId="76" fillId="8" borderId="3" xfId="0" applyFont="1" applyFill="1" applyBorder="1" applyAlignment="1">
      <alignment horizontal="left" vertical="center" wrapText="1"/>
    </xf>
    <xf numFmtId="0" fontId="77" fillId="8" borderId="3" xfId="0" applyFont="1" applyFill="1" applyBorder="1" applyAlignment="1">
      <alignment horizontal="left" vertical="center"/>
    </xf>
    <xf numFmtId="0" fontId="77" fillId="8" borderId="4" xfId="0" applyFont="1" applyFill="1" applyBorder="1" applyAlignment="1">
      <alignment horizontal="left" vertical="center"/>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 xfId="0" applyFont="1" applyBorder="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5" xfId="0" applyFont="1" applyBorder="1" applyAlignment="1">
      <alignment horizontal="left" vertical="top"/>
    </xf>
    <xf numFmtId="0" fontId="52" fillId="0" borderId="5" xfId="0" applyFont="1" applyFill="1" applyBorder="1" applyAlignment="1">
      <alignment horizontal="center" vertical="center" wrapText="1"/>
    </xf>
    <xf numFmtId="0" fontId="52" fillId="0" borderId="5" xfId="0" applyFont="1" applyFill="1" applyBorder="1" applyAlignment="1">
      <alignment horizontal="center" vertical="center"/>
    </xf>
    <xf numFmtId="0" fontId="10" fillId="0" borderId="0" xfId="0" applyFont="1" applyAlignment="1">
      <alignment horizontal="right" vertical="center"/>
    </xf>
    <xf numFmtId="0" fontId="10" fillId="0" borderId="6" xfId="0" applyFont="1" applyBorder="1" applyAlignment="1">
      <alignment horizontal="right" vertical="center"/>
    </xf>
    <xf numFmtId="0" fontId="10" fillId="0" borderId="2"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10" fillId="0" borderId="4" xfId="0" applyNumberFormat="1" applyFont="1" applyFill="1" applyBorder="1" applyAlignment="1">
      <alignment horizontal="left" vertical="center"/>
    </xf>
    <xf numFmtId="49" fontId="10" fillId="0" borderId="3" xfId="0" applyNumberFormat="1" applyFont="1" applyFill="1" applyBorder="1" applyAlignment="1">
      <alignment horizontal="left" vertical="center"/>
    </xf>
    <xf numFmtId="0" fontId="10" fillId="0" borderId="0" xfId="0" applyFont="1" applyFill="1" applyAlignment="1">
      <alignment horizontal="center" wrapText="1"/>
    </xf>
    <xf numFmtId="1" fontId="13" fillId="0" borderId="7" xfId="0" applyNumberFormat="1" applyFont="1" applyFill="1" applyBorder="1" applyAlignment="1">
      <alignment horizontal="left" vertical="center"/>
    </xf>
    <xf numFmtId="1" fontId="13" fillId="0" borderId="0" xfId="0" applyNumberFormat="1" applyFont="1" applyFill="1" applyBorder="1" applyAlignment="1">
      <alignment horizontal="left" vertical="center"/>
    </xf>
    <xf numFmtId="164" fontId="13" fillId="0" borderId="7" xfId="0" applyNumberFormat="1" applyFont="1" applyFill="1" applyBorder="1" applyAlignment="1">
      <alignment horizontal="left" vertical="center"/>
    </xf>
    <xf numFmtId="164" fontId="13" fillId="0" borderId="0" xfId="0" applyNumberFormat="1" applyFont="1" applyFill="1" applyBorder="1" applyAlignment="1">
      <alignment horizontal="left" vertical="center"/>
    </xf>
    <xf numFmtId="1" fontId="8" fillId="6" borderId="2" xfId="0" applyNumberFormat="1" applyFont="1" applyFill="1" applyBorder="1" applyAlignment="1">
      <alignment horizontal="center" vertical="center"/>
    </xf>
    <xf numFmtId="1" fontId="8" fillId="6" borderId="4" xfId="0" applyNumberFormat="1" applyFont="1" applyFill="1" applyBorder="1" applyAlignment="1">
      <alignment horizontal="center" vertical="center"/>
    </xf>
    <xf numFmtId="164" fontId="8" fillId="6" borderId="11" xfId="0" applyNumberFormat="1" applyFont="1" applyFill="1" applyBorder="1" applyAlignment="1">
      <alignment horizontal="center" vertical="center"/>
    </xf>
    <xf numFmtId="164" fontId="8" fillId="6" borderId="12" xfId="0" applyNumberFormat="1" applyFont="1" applyFill="1" applyBorder="1" applyAlignment="1">
      <alignment horizontal="center" vertical="center"/>
    </xf>
    <xf numFmtId="0" fontId="74" fillId="8" borderId="3" xfId="0" applyFont="1" applyFill="1" applyBorder="1" applyAlignment="1">
      <alignment horizontal="left" vertical="center" wrapText="1"/>
    </xf>
    <xf numFmtId="0" fontId="75" fillId="8" borderId="3" xfId="0" applyFont="1" applyFill="1" applyBorder="1" applyAlignment="1">
      <alignment horizontal="left" vertical="center"/>
    </xf>
    <xf numFmtId="0" fontId="75" fillId="8" borderId="4" xfId="0" applyFont="1" applyFill="1" applyBorder="1" applyAlignment="1">
      <alignment horizontal="left" vertical="center"/>
    </xf>
    <xf numFmtId="0" fontId="28" fillId="0" borderId="5" xfId="0" applyFont="1" applyFill="1" applyBorder="1" applyAlignment="1">
      <alignment horizontal="center" vertical="center" wrapText="1"/>
    </xf>
    <xf numFmtId="0" fontId="24" fillId="0" borderId="13" xfId="0" applyFont="1" applyBorder="1" applyAlignment="1">
      <alignment horizontal="right" vertical="top"/>
    </xf>
    <xf numFmtId="0" fontId="24" fillId="0" borderId="14" xfId="0" applyFont="1" applyBorder="1" applyAlignment="1">
      <alignment horizontal="right" vertical="top"/>
    </xf>
    <xf numFmtId="0" fontId="24" fillId="0" borderId="15" xfId="0" applyFont="1" applyBorder="1" applyAlignment="1">
      <alignment horizontal="right" vertical="top"/>
    </xf>
    <xf numFmtId="0" fontId="41" fillId="2" borderId="2" xfId="0" applyFont="1" applyFill="1" applyBorder="1" applyAlignment="1">
      <alignment horizontal="left"/>
    </xf>
    <xf numFmtId="0" fontId="41" fillId="2" borderId="3" xfId="0" applyFont="1" applyFill="1" applyBorder="1" applyAlignment="1">
      <alignment horizontal="left"/>
    </xf>
    <xf numFmtId="0" fontId="41" fillId="2" borderId="4" xfId="0" applyFont="1" applyFill="1" applyBorder="1" applyAlignment="1">
      <alignment horizontal="left"/>
    </xf>
    <xf numFmtId="169" fontId="18" fillId="2" borderId="2" xfId="0" applyNumberFormat="1" applyFont="1" applyFill="1" applyBorder="1" applyAlignment="1">
      <alignment horizontal="center" vertical="center"/>
    </xf>
    <xf numFmtId="169" fontId="18" fillId="2" borderId="4" xfId="0" applyNumberFormat="1" applyFont="1" applyFill="1" applyBorder="1" applyAlignment="1">
      <alignment horizontal="center" vertical="center"/>
    </xf>
    <xf numFmtId="0" fontId="24" fillId="0" borderId="7" xfId="0" applyFont="1" applyFill="1" applyBorder="1" applyAlignment="1">
      <alignment horizontal="right"/>
    </xf>
    <xf numFmtId="0" fontId="24" fillId="0" borderId="0" xfId="0" applyFont="1" applyFill="1" applyBorder="1" applyAlignment="1">
      <alignment horizontal="right"/>
    </xf>
    <xf numFmtId="0" fontId="24" fillId="0" borderId="6" xfId="0" applyFont="1" applyFill="1" applyBorder="1" applyAlignment="1">
      <alignment horizontal="right"/>
    </xf>
    <xf numFmtId="0" fontId="24" fillId="0" borderId="11" xfId="0" applyFont="1" applyFill="1" applyBorder="1" applyAlignment="1">
      <alignment horizontal="right"/>
    </xf>
    <xf numFmtId="0" fontId="24" fillId="0" borderId="1" xfId="0" applyFont="1" applyFill="1" applyBorder="1" applyAlignment="1">
      <alignment horizontal="right"/>
    </xf>
    <xf numFmtId="0" fontId="24" fillId="0" borderId="12" xfId="0" applyFont="1" applyFill="1" applyBorder="1" applyAlignment="1">
      <alignment horizontal="right"/>
    </xf>
    <xf numFmtId="0" fontId="24" fillId="0" borderId="8" xfId="0" applyFont="1" applyFill="1" applyBorder="1" applyAlignment="1">
      <alignment horizontal="left"/>
    </xf>
    <xf numFmtId="0" fontId="24" fillId="0" borderId="9" xfId="0" applyFont="1" applyFill="1" applyBorder="1" applyAlignment="1">
      <alignment horizontal="left"/>
    </xf>
    <xf numFmtId="0" fontId="24" fillId="0" borderId="10" xfId="0" applyFont="1" applyFill="1" applyBorder="1" applyAlignment="1">
      <alignment horizontal="left"/>
    </xf>
    <xf numFmtId="0" fontId="24" fillId="0" borderId="2" xfId="0" applyFont="1" applyBorder="1" applyAlignment="1">
      <alignment horizontal="right" vertical="top"/>
    </xf>
    <xf numFmtId="0" fontId="24" fillId="0" borderId="3" xfId="0" applyFont="1" applyBorder="1" applyAlignment="1">
      <alignment horizontal="right" vertical="top"/>
    </xf>
    <xf numFmtId="0" fontId="24" fillId="0" borderId="4" xfId="0" applyFont="1" applyBorder="1" applyAlignment="1">
      <alignment horizontal="right" vertical="top"/>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left" vertical="top" wrapText="1"/>
    </xf>
    <xf numFmtId="0" fontId="24" fillId="0" borderId="2" xfId="0" applyFont="1" applyFill="1" applyBorder="1" applyAlignment="1">
      <alignment horizontal="right" vertical="center" wrapText="1"/>
    </xf>
    <xf numFmtId="0" fontId="24" fillId="0" borderId="3" xfId="0" applyFont="1" applyFill="1" applyBorder="1" applyAlignment="1">
      <alignment horizontal="right" vertical="center" wrapText="1"/>
    </xf>
    <xf numFmtId="0" fontId="17" fillId="4" borderId="3"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65" fillId="0" borderId="0" xfId="0" applyFont="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13" xfId="0" applyFont="1" applyBorder="1" applyAlignment="1">
      <alignment horizontal="center" vertical="center"/>
    </xf>
    <xf numFmtId="1" fontId="17" fillId="0" borderId="0" xfId="0" applyNumberFormat="1" applyFont="1" applyBorder="1" applyAlignment="1">
      <alignment horizontal="right"/>
    </xf>
    <xf numFmtId="1" fontId="17" fillId="4" borderId="5" xfId="0" applyNumberFormat="1" applyFont="1" applyFill="1" applyBorder="1" applyAlignment="1">
      <alignment horizontal="center"/>
    </xf>
    <xf numFmtId="1" fontId="17" fillId="0" borderId="9" xfId="0" applyNumberFormat="1" applyFont="1" applyBorder="1" applyAlignment="1">
      <alignment horizontal="right"/>
    </xf>
    <xf numFmtId="171" fontId="17" fillId="0" borderId="1" xfId="0" applyNumberFormat="1" applyFont="1" applyBorder="1" applyAlignment="1">
      <alignment horizontal="right"/>
    </xf>
    <xf numFmtId="9" fontId="17" fillId="4" borderId="5" xfId="0" applyNumberFormat="1" applyFont="1" applyFill="1" applyBorder="1" applyAlignment="1">
      <alignment horizontal="center"/>
    </xf>
    <xf numFmtId="0" fontId="35" fillId="2" borderId="3" xfId="0" applyFont="1" applyFill="1" applyBorder="1" applyAlignment="1">
      <alignment horizontal="center" vertical="center"/>
    </xf>
    <xf numFmtId="1" fontId="17" fillId="0" borderId="2" xfId="0" applyNumberFormat="1" applyFont="1" applyBorder="1" applyAlignment="1">
      <alignment horizontal="center"/>
    </xf>
    <xf numFmtId="1" fontId="17" fillId="0" borderId="3" xfId="0" applyNumberFormat="1" applyFont="1" applyBorder="1" applyAlignment="1">
      <alignment horizontal="center"/>
    </xf>
    <xf numFmtId="1" fontId="17" fillId="0" borderId="4" xfId="0" applyNumberFormat="1" applyFont="1" applyBorder="1" applyAlignment="1">
      <alignment horizontal="center"/>
    </xf>
    <xf numFmtId="1" fontId="17" fillId="2" borderId="3" xfId="0" applyNumberFormat="1" applyFont="1" applyFill="1" applyBorder="1" applyAlignment="1">
      <alignment horizontal="right"/>
    </xf>
    <xf numFmtId="165" fontId="17" fillId="2" borderId="1" xfId="0" applyNumberFormat="1" applyFont="1" applyFill="1" applyBorder="1" applyAlignment="1">
      <alignment horizontal="right"/>
    </xf>
    <xf numFmtId="1" fontId="17" fillId="0" borderId="8" xfId="0" applyNumberFormat="1" applyFont="1" applyBorder="1" applyAlignment="1">
      <alignment horizontal="center"/>
    </xf>
    <xf numFmtId="1" fontId="17" fillId="0" borderId="10" xfId="0" applyNumberFormat="1" applyFont="1" applyBorder="1" applyAlignment="1">
      <alignment horizontal="center"/>
    </xf>
    <xf numFmtId="2" fontId="17" fillId="0" borderId="11" xfId="0" applyNumberFormat="1" applyFont="1" applyBorder="1" applyAlignment="1">
      <alignment horizontal="center"/>
    </xf>
    <xf numFmtId="2" fontId="17" fillId="0" borderId="12" xfId="0" applyNumberFormat="1" applyFont="1" applyBorder="1" applyAlignment="1">
      <alignment horizontal="center"/>
    </xf>
    <xf numFmtId="2" fontId="17" fillId="0" borderId="3" xfId="0" applyNumberFormat="1" applyFont="1" applyBorder="1" applyAlignment="1">
      <alignment horizontal="right"/>
    </xf>
    <xf numFmtId="1" fontId="17" fillId="0" borderId="1" xfId="0" applyNumberFormat="1" applyFont="1" applyBorder="1" applyAlignment="1">
      <alignment horizontal="right"/>
    </xf>
    <xf numFmtId="165" fontId="17" fillId="4" borderId="5" xfId="0" applyNumberFormat="1" applyFont="1" applyFill="1" applyBorder="1" applyAlignment="1">
      <alignment horizontal="center"/>
    </xf>
    <xf numFmtId="0" fontId="35" fillId="2" borderId="9" xfId="0" applyFont="1" applyFill="1" applyBorder="1" applyAlignment="1">
      <alignment horizontal="center" vertical="center"/>
    </xf>
    <xf numFmtId="0" fontId="17" fillId="2" borderId="2" xfId="0" applyFont="1" applyFill="1" applyBorder="1" applyAlignment="1">
      <alignment horizontal="center" vertical="center"/>
    </xf>
    <xf numFmtId="1" fontId="17" fillId="0" borderId="6" xfId="0" applyNumberFormat="1" applyFont="1" applyBorder="1" applyAlignment="1">
      <alignment horizontal="center"/>
    </xf>
    <xf numFmtId="1" fontId="17" fillId="0" borderId="8" xfId="0" applyNumberFormat="1" applyFont="1" applyFill="1" applyBorder="1" applyAlignment="1">
      <alignment horizontal="center"/>
    </xf>
    <xf numFmtId="1" fontId="17" fillId="0" borderId="10" xfId="0" applyNumberFormat="1" applyFont="1" applyFill="1" applyBorder="1" applyAlignment="1">
      <alignment horizontal="center"/>
    </xf>
    <xf numFmtId="2" fontId="17" fillId="0" borderId="11" xfId="0" applyNumberFormat="1" applyFont="1" applyFill="1" applyBorder="1" applyAlignment="1">
      <alignment horizontal="center"/>
    </xf>
    <xf numFmtId="2" fontId="17" fillId="0" borderId="12" xfId="0" applyNumberFormat="1" applyFont="1" applyFill="1" applyBorder="1" applyAlignment="1">
      <alignment horizontal="center"/>
    </xf>
    <xf numFmtId="0" fontId="17" fillId="2" borderId="1" xfId="0" applyFont="1" applyFill="1" applyBorder="1" applyAlignment="1"/>
    <xf numFmtId="0" fontId="17" fillId="0" borderId="0" xfId="0" applyFont="1" applyFill="1" applyBorder="1" applyAlignment="1"/>
    <xf numFmtId="0" fontId="17" fillId="0" borderId="9" xfId="0" applyFont="1" applyFill="1" applyBorder="1" applyAlignment="1"/>
    <xf numFmtId="0" fontId="17" fillId="0" borderId="1" xfId="0" applyFont="1" applyFill="1" applyBorder="1" applyAlignment="1"/>
    <xf numFmtId="0" fontId="17" fillId="2" borderId="3" xfId="0" applyFont="1" applyFill="1" applyBorder="1" applyAlignment="1"/>
  </cellXfs>
  <cellStyles count="7">
    <cellStyle name="Hyperlink" xfId="6" builtinId="8"/>
    <cellStyle name="Normal" xfId="0" builtinId="0"/>
    <cellStyle name="Normal 2" xfId="4" xr:uid="{00000000-0005-0000-0000-000002000000}"/>
    <cellStyle name="Normal 3 5" xfId="5" xr:uid="{00000000-0005-0000-0000-000003000000}"/>
    <cellStyle name="Percent" xfId="1" builtinId="5"/>
    <cellStyle name="Standard_HWB Kurzverf. Formular" xfId="3" xr:uid="{00000000-0005-0000-0000-000005000000}"/>
    <cellStyle name="Standard_HWB Kurzverf. Formular (2)" xfId="2" xr:uid="{00000000-0005-0000-0000-000006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1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287214</xdr:colOff>
      <xdr:row>69</xdr:row>
      <xdr:rowOff>152400</xdr:rowOff>
    </xdr:from>
    <xdr:to>
      <xdr:col>8</xdr:col>
      <xdr:colOff>69165</xdr:colOff>
      <xdr:row>83</xdr:row>
      <xdr:rowOff>167640</xdr:rowOff>
    </xdr:to>
    <xdr:pic>
      <xdr:nvPicPr>
        <xdr:cNvPr id="2" name="Picture 1">
          <a:extLst>
            <a:ext uri="{FF2B5EF4-FFF2-40B4-BE49-F238E27FC236}">
              <a16:creationId xmlns:a16="http://schemas.microsoft.com/office/drawing/2014/main" id="{92B59A88-AC4B-E0CC-6C89-DA3FE6D58C00}"/>
            </a:ext>
          </a:extLst>
        </xdr:cNvPr>
        <xdr:cNvPicPr>
          <a:picLocks noChangeAspect="1"/>
        </xdr:cNvPicPr>
      </xdr:nvPicPr>
      <xdr:blipFill>
        <a:blip xmlns:r="http://schemas.openxmlformats.org/officeDocument/2006/relationships" r:embed="rId1"/>
        <a:stretch>
          <a:fillRect/>
        </a:stretch>
      </xdr:blipFill>
      <xdr:spPr>
        <a:xfrm>
          <a:off x="386274" y="13357860"/>
          <a:ext cx="6457071" cy="2468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287214</xdr:colOff>
      <xdr:row>69</xdr:row>
      <xdr:rowOff>152400</xdr:rowOff>
    </xdr:from>
    <xdr:to>
      <xdr:col>8</xdr:col>
      <xdr:colOff>69165</xdr:colOff>
      <xdr:row>83</xdr:row>
      <xdr:rowOff>167640</xdr:rowOff>
    </xdr:to>
    <xdr:pic>
      <xdr:nvPicPr>
        <xdr:cNvPr id="7" name="Picture 6">
          <a:extLst>
            <a:ext uri="{FF2B5EF4-FFF2-40B4-BE49-F238E27FC236}">
              <a16:creationId xmlns:a16="http://schemas.microsoft.com/office/drawing/2014/main" id="{3C8127E9-2811-4551-8859-A9BC2D9DFA5E}"/>
            </a:ext>
          </a:extLst>
        </xdr:cNvPr>
        <xdr:cNvPicPr>
          <a:picLocks noChangeAspect="1"/>
        </xdr:cNvPicPr>
      </xdr:nvPicPr>
      <xdr:blipFill>
        <a:blip xmlns:r="http://schemas.openxmlformats.org/officeDocument/2006/relationships" r:embed="rId1"/>
        <a:stretch>
          <a:fillRect/>
        </a:stretch>
      </xdr:blipFill>
      <xdr:spPr>
        <a:xfrm>
          <a:off x="386274" y="13357860"/>
          <a:ext cx="6457071" cy="24688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_2022_dProjekti\0_P1_korekc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 instructions"/>
      <sheetName val="KOREKCIJAS"/>
      <sheetName val="BIS"/>
      <sheetName val="Sert"/>
      <sheetName val="1.lapa"/>
      <sheetName val="2.lapa"/>
      <sheetName val="3.lapa"/>
      <sheetName val="4_katli"/>
      <sheetName val="P_4.lapa(HT)"/>
      <sheetName val="P_5.lapa(platibas)"/>
      <sheetName val="Saule"/>
      <sheetName val="Logi"/>
      <sheetName val="sauleKPFI"/>
      <sheetName val="Verification"/>
      <sheetName val="Overview"/>
      <sheetName val="Check"/>
      <sheetName val="Variants"/>
      <sheetName val="Comparison"/>
      <sheetName val="Data"/>
      <sheetName val="Klimats"/>
      <sheetName val="LBN003"/>
      <sheetName val="Areas"/>
      <sheetName val="Ventilation"/>
      <sheetName val="Windows"/>
      <sheetName val="Components"/>
      <sheetName val="Ground"/>
      <sheetName val="U-Values"/>
      <sheetName val="Shading"/>
      <sheetName val="Addl vent"/>
      <sheetName val="Heating load"/>
      <sheetName val="SummVent"/>
      <sheetName val="Summer"/>
      <sheetName val="Cooling units"/>
      <sheetName val="Cooling load"/>
      <sheetName val="DHW+Distribution"/>
      <sheetName val="SolarDHW"/>
      <sheetName val="PV"/>
      <sheetName val="Electricity"/>
      <sheetName val="Use non-res"/>
      <sheetName val="Electricity non-res"/>
      <sheetName val="Aux Electricity"/>
      <sheetName val="IHG"/>
      <sheetName val="IHG non-res"/>
      <sheetName val="PagaiduSert"/>
      <sheetName val="PilnaisSert"/>
      <sheetName val="P_1"/>
      <sheetName val="P_2"/>
      <sheetName val="P_3"/>
      <sheetName val="P_4"/>
      <sheetName val="P_5"/>
      <sheetName val="P_5_dz"/>
      <sheetName val="P_6"/>
      <sheetName val="P_8"/>
      <sheetName val="normatīvais aprēķins"/>
      <sheetName val="P7"/>
      <sheetName val="En_sert_p2"/>
      <sheetName val="ievaddati"/>
      <sheetName val="PER"/>
      <sheetName val="Compact"/>
      <sheetName val="HP"/>
      <sheetName val="HP ground"/>
      <sheetName val="Boiler"/>
      <sheetName val="District hea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ikumi.lv/ta/id/296651-siltumnicefekta-gazu-emisiju-aprekina-metodik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V60"/>
  <sheetViews>
    <sheetView showGridLines="0" tabSelected="1" topLeftCell="A22" workbookViewId="0">
      <selection activeCell="AE13" sqref="AE13"/>
    </sheetView>
  </sheetViews>
  <sheetFormatPr defaultColWidth="8.88671875" defaultRowHeight="13.8" x14ac:dyDescent="0.25"/>
  <cols>
    <col min="1" max="1" width="3" style="17" customWidth="1"/>
    <col min="2" max="2" width="5.44140625" style="17" customWidth="1"/>
    <col min="3" max="14" width="9.5546875" style="17" customWidth="1"/>
    <col min="15" max="15" width="13.88671875" style="17" bestFit="1" customWidth="1"/>
    <col min="16" max="16" width="8.88671875" style="17" hidden="1" customWidth="1"/>
    <col min="17" max="17" width="0" style="17" hidden="1" customWidth="1"/>
    <col min="18" max="18" width="8.88671875" style="17" hidden="1" customWidth="1"/>
    <col min="19" max="19" width="16" style="17" hidden="1" customWidth="1"/>
    <col min="20" max="22" width="8.88671875" style="17" hidden="1" customWidth="1"/>
    <col min="23" max="23" width="0" style="17" hidden="1" customWidth="1"/>
    <col min="24" max="16384" width="8.88671875" style="17"/>
  </cols>
  <sheetData>
    <row r="1" spans="1:16" x14ac:dyDescent="0.25">
      <c r="A1" s="376" t="s">
        <v>77</v>
      </c>
      <c r="B1" s="376"/>
      <c r="C1" s="143" t="s">
        <v>248</v>
      </c>
      <c r="D1" s="143"/>
      <c r="E1" s="143"/>
      <c r="F1" s="143"/>
      <c r="G1" s="143"/>
      <c r="H1" s="143"/>
      <c r="I1" s="143"/>
      <c r="J1" s="143"/>
      <c r="K1" s="38"/>
      <c r="L1" s="38"/>
      <c r="M1" s="38"/>
      <c r="N1" s="38"/>
      <c r="O1" s="38"/>
    </row>
    <row r="2" spans="1:16" ht="21" customHeight="1" x14ac:dyDescent="0.25">
      <c r="A2" s="144"/>
      <c r="B2" s="144"/>
      <c r="C2" s="146" t="s">
        <v>249</v>
      </c>
      <c r="D2" s="144"/>
      <c r="E2" s="144"/>
      <c r="F2" s="144"/>
      <c r="G2" s="144"/>
      <c r="H2" s="144"/>
      <c r="I2" s="144"/>
      <c r="J2" s="144"/>
      <c r="K2" s="39"/>
      <c r="L2" s="39"/>
      <c r="M2" s="39"/>
      <c r="N2" s="39"/>
      <c r="O2" s="39"/>
    </row>
    <row r="3" spans="1:16" s="40" customFormat="1" ht="43.95" customHeight="1" x14ac:dyDescent="0.3">
      <c r="A3" s="377" t="s">
        <v>279</v>
      </c>
      <c r="B3" s="377"/>
      <c r="C3" s="377"/>
      <c r="D3" s="377"/>
      <c r="E3" s="377"/>
      <c r="F3" s="377"/>
      <c r="G3" s="377"/>
      <c r="H3" s="377"/>
      <c r="I3" s="377"/>
      <c r="J3" s="377"/>
      <c r="K3" s="377"/>
      <c r="L3" s="377"/>
      <c r="M3" s="377"/>
      <c r="N3" s="377"/>
      <c r="O3" s="377"/>
    </row>
    <row r="4" spans="1:16" s="40" customFormat="1" ht="22.95" customHeight="1" x14ac:dyDescent="0.3">
      <c r="B4" s="378" t="s">
        <v>203</v>
      </c>
      <c r="C4" s="378"/>
      <c r="D4" s="378"/>
      <c r="E4" s="378"/>
      <c r="F4" s="378"/>
      <c r="G4" s="378"/>
      <c r="H4" s="378"/>
      <c r="I4" s="378"/>
      <c r="J4" s="378"/>
      <c r="K4" s="378"/>
      <c r="L4" s="378"/>
      <c r="M4" s="378"/>
      <c r="N4" s="378"/>
      <c r="O4" s="378"/>
    </row>
    <row r="5" spans="1:16" s="41" customFormat="1" ht="5.4" customHeight="1" x14ac:dyDescent="0.25">
      <c r="B5" s="42"/>
      <c r="C5" s="42"/>
      <c r="D5" s="42"/>
      <c r="E5" s="42"/>
      <c r="F5" s="42"/>
      <c r="G5" s="42"/>
      <c r="H5" s="42"/>
      <c r="I5" s="42"/>
      <c r="J5" s="42"/>
      <c r="K5" s="42"/>
      <c r="L5" s="42"/>
      <c r="M5" s="42"/>
      <c r="N5" s="42"/>
      <c r="O5" s="42"/>
    </row>
    <row r="6" spans="1:16" ht="15.6" x14ac:dyDescent="0.25">
      <c r="B6" s="357" t="s">
        <v>2</v>
      </c>
      <c r="C6" s="357"/>
      <c r="D6" s="357"/>
      <c r="E6" s="357"/>
      <c r="F6" s="354"/>
      <c r="G6" s="355"/>
      <c r="H6" s="355"/>
      <c r="I6" s="355"/>
      <c r="J6" s="355"/>
      <c r="K6" s="356"/>
      <c r="M6" s="353" t="s">
        <v>169</v>
      </c>
      <c r="N6" s="353"/>
      <c r="O6" s="353"/>
    </row>
    <row r="7" spans="1:16" ht="15.6" x14ac:dyDescent="0.25">
      <c r="B7" s="357" t="s">
        <v>33</v>
      </c>
      <c r="C7" s="357"/>
      <c r="D7" s="357"/>
      <c r="E7" s="357"/>
      <c r="F7" s="358"/>
      <c r="G7" s="359"/>
      <c r="H7" s="359"/>
      <c r="I7" s="359"/>
      <c r="J7" s="359"/>
      <c r="K7" s="360"/>
      <c r="M7" s="362" t="s">
        <v>164</v>
      </c>
      <c r="N7" s="362"/>
      <c r="O7" s="362"/>
    </row>
    <row r="8" spans="1:16" s="43" customFormat="1" ht="27.6" customHeight="1" x14ac:dyDescent="0.25">
      <c r="B8" s="44" t="s">
        <v>280</v>
      </c>
      <c r="C8" s="346" t="s">
        <v>40</v>
      </c>
      <c r="D8" s="346"/>
      <c r="E8" s="346"/>
      <c r="F8" s="346"/>
      <c r="G8" s="346"/>
      <c r="H8" s="346"/>
      <c r="I8" s="346"/>
      <c r="J8" s="346"/>
      <c r="K8" s="346"/>
      <c r="L8" s="346"/>
      <c r="M8" s="346"/>
      <c r="N8" s="346"/>
      <c r="O8" s="45"/>
    </row>
    <row r="9" spans="1:16" s="40" customFormat="1" ht="15.6" x14ac:dyDescent="0.3">
      <c r="A9" s="344" t="s">
        <v>41</v>
      </c>
      <c r="B9" s="344"/>
      <c r="C9" s="46" t="s">
        <v>42</v>
      </c>
      <c r="D9" s="46" t="s">
        <v>43</v>
      </c>
      <c r="E9" s="46" t="s">
        <v>44</v>
      </c>
      <c r="F9" s="46" t="s">
        <v>45</v>
      </c>
      <c r="G9" s="46" t="s">
        <v>46</v>
      </c>
      <c r="H9" s="46" t="s">
        <v>47</v>
      </c>
      <c r="I9" s="46" t="s">
        <v>48</v>
      </c>
      <c r="J9" s="46" t="s">
        <v>49</v>
      </c>
      <c r="K9" s="46" t="s">
        <v>50</v>
      </c>
      <c r="L9" s="46" t="s">
        <v>51</v>
      </c>
      <c r="M9" s="46" t="s">
        <v>52</v>
      </c>
      <c r="N9" s="46" t="s">
        <v>53</v>
      </c>
      <c r="O9" s="46" t="s">
        <v>54</v>
      </c>
    </row>
    <row r="10" spans="1:16" s="40" customFormat="1" ht="15.75" customHeight="1" x14ac:dyDescent="0.3">
      <c r="A10" s="343"/>
      <c r="B10" s="343"/>
      <c r="C10" s="47"/>
      <c r="D10" s="47"/>
      <c r="E10" s="47"/>
      <c r="F10" s="47"/>
      <c r="G10" s="47"/>
      <c r="H10" s="47"/>
      <c r="I10" s="47"/>
      <c r="J10" s="47"/>
      <c r="K10" s="47"/>
      <c r="L10" s="47"/>
      <c r="M10" s="47"/>
      <c r="N10" s="47"/>
      <c r="O10" s="48" t="str">
        <f>IF(P10=1,SUM(C10:N10),"")</f>
        <v/>
      </c>
      <c r="P10" s="40" t="str">
        <f>IF(SUM(C10:N10)&gt;0,1,"")</f>
        <v/>
      </c>
    </row>
    <row r="11" spans="1:16" s="40" customFormat="1" ht="15.75" customHeight="1" x14ac:dyDescent="0.3">
      <c r="A11" s="343"/>
      <c r="B11" s="343"/>
      <c r="C11" s="47"/>
      <c r="D11" s="47"/>
      <c r="E11" s="47"/>
      <c r="F11" s="47"/>
      <c r="G11" s="47"/>
      <c r="H11" s="47"/>
      <c r="I11" s="47"/>
      <c r="J11" s="47"/>
      <c r="K11" s="47"/>
      <c r="L11" s="47"/>
      <c r="M11" s="47"/>
      <c r="N11" s="47"/>
      <c r="O11" s="48" t="str">
        <f t="shared" ref="O11:O14" si="0">IF(P11=1,SUM(C11:N11),"")</f>
        <v/>
      </c>
      <c r="P11" s="40" t="str">
        <f t="shared" ref="P11:P14" si="1">IF(SUM(C11:N11)&gt;0,1,"")</f>
        <v/>
      </c>
    </row>
    <row r="12" spans="1:16" s="40" customFormat="1" ht="15.75" customHeight="1" x14ac:dyDescent="0.3">
      <c r="A12" s="343"/>
      <c r="B12" s="343"/>
      <c r="C12" s="47"/>
      <c r="D12" s="47"/>
      <c r="E12" s="47"/>
      <c r="F12" s="47"/>
      <c r="G12" s="47"/>
      <c r="H12" s="47"/>
      <c r="I12" s="47"/>
      <c r="J12" s="47"/>
      <c r="K12" s="47"/>
      <c r="L12" s="47"/>
      <c r="M12" s="47"/>
      <c r="N12" s="47"/>
      <c r="O12" s="48" t="str">
        <f t="shared" si="0"/>
        <v/>
      </c>
      <c r="P12" s="40" t="str">
        <f t="shared" si="1"/>
        <v/>
      </c>
    </row>
    <row r="13" spans="1:16" s="40" customFormat="1" ht="15.6" x14ac:dyDescent="0.3">
      <c r="A13" s="343"/>
      <c r="B13" s="343"/>
      <c r="C13" s="47"/>
      <c r="D13" s="47"/>
      <c r="E13" s="47"/>
      <c r="F13" s="47"/>
      <c r="G13" s="47"/>
      <c r="H13" s="47"/>
      <c r="I13" s="47"/>
      <c r="J13" s="47"/>
      <c r="K13" s="47"/>
      <c r="L13" s="47"/>
      <c r="M13" s="47"/>
      <c r="N13" s="47"/>
      <c r="O13" s="48" t="str">
        <f t="shared" si="0"/>
        <v/>
      </c>
      <c r="P13" s="40" t="str">
        <f t="shared" si="1"/>
        <v/>
      </c>
    </row>
    <row r="14" spans="1:16" s="40" customFormat="1" ht="15.6" x14ac:dyDescent="0.3">
      <c r="A14" s="343"/>
      <c r="B14" s="343"/>
      <c r="C14" s="47"/>
      <c r="D14" s="47"/>
      <c r="E14" s="47"/>
      <c r="F14" s="47"/>
      <c r="G14" s="47"/>
      <c r="H14" s="47"/>
      <c r="I14" s="47"/>
      <c r="J14" s="47"/>
      <c r="K14" s="47"/>
      <c r="L14" s="47"/>
      <c r="M14" s="47"/>
      <c r="N14" s="47"/>
      <c r="O14" s="48" t="str">
        <f t="shared" si="0"/>
        <v/>
      </c>
      <c r="P14" s="40" t="str">
        <f t="shared" si="1"/>
        <v/>
      </c>
    </row>
    <row r="15" spans="1:16" s="40" customFormat="1" ht="15.6" customHeight="1" x14ac:dyDescent="0.3">
      <c r="A15" s="381" t="s">
        <v>55</v>
      </c>
      <c r="B15" s="381"/>
      <c r="C15" s="381"/>
      <c r="D15" s="381"/>
      <c r="E15" s="381"/>
      <c r="F15" s="381"/>
      <c r="G15" s="381"/>
      <c r="H15" s="381"/>
      <c r="I15" s="381"/>
      <c r="J15" s="381"/>
      <c r="K15" s="381"/>
      <c r="L15" s="381"/>
      <c r="M15" s="381"/>
      <c r="N15" s="381"/>
      <c r="O15" s="49" t="str">
        <f>IFERROR(AVERAGE(O10:O14),"")</f>
        <v/>
      </c>
    </row>
    <row r="16" spans="1:16" s="40" customFormat="1" ht="15.6" customHeight="1" x14ac:dyDescent="0.3">
      <c r="A16" s="348" t="s">
        <v>97</v>
      </c>
      <c r="B16" s="348"/>
      <c r="C16" s="348"/>
      <c r="D16" s="340" t="s">
        <v>98</v>
      </c>
      <c r="E16" s="340"/>
      <c r="F16" s="340"/>
      <c r="G16" s="340"/>
      <c r="H16" s="340"/>
      <c r="I16" s="340"/>
      <c r="J16" s="340"/>
      <c r="K16" s="340"/>
      <c r="L16" s="340"/>
      <c r="M16" s="340"/>
      <c r="N16" s="340"/>
      <c r="O16" s="131"/>
    </row>
    <row r="17" spans="1:20" s="43" customFormat="1" ht="19.2" customHeight="1" x14ac:dyDescent="0.25">
      <c r="B17" s="50" t="s">
        <v>281</v>
      </c>
      <c r="C17" s="361" t="s">
        <v>56</v>
      </c>
      <c r="D17" s="361"/>
      <c r="E17" s="361"/>
      <c r="F17" s="361"/>
      <c r="G17" s="361"/>
      <c r="H17" s="361"/>
      <c r="I17" s="361"/>
      <c r="J17" s="361"/>
      <c r="K17" s="361"/>
      <c r="L17" s="361"/>
      <c r="M17" s="51"/>
      <c r="N17" s="51"/>
      <c r="O17" s="52"/>
    </row>
    <row r="18" spans="1:20" s="40" customFormat="1" ht="15.6" customHeight="1" x14ac:dyDescent="0.3">
      <c r="A18" s="17"/>
      <c r="B18" s="379" t="s">
        <v>57</v>
      </c>
      <c r="C18" s="379"/>
      <c r="D18" s="373"/>
      <c r="E18" s="374"/>
      <c r="F18" s="375"/>
      <c r="G18" s="380" t="s">
        <v>123</v>
      </c>
      <c r="H18" s="380"/>
      <c r="I18" s="380"/>
      <c r="J18" s="151" t="str">
        <f>IF(D18="","",VLOOKUP(D18,S34:T48,2,FALSE))</f>
        <v/>
      </c>
      <c r="K18" s="338" t="str">
        <f>IF(D18="","",VLOOKUP(D18,S34:U51,3,FALSE))</f>
        <v/>
      </c>
      <c r="L18" s="338"/>
      <c r="M18" s="339"/>
      <c r="N18" s="339"/>
      <c r="O18" s="339"/>
    </row>
    <row r="19" spans="1:20" s="40" customFormat="1" ht="15.6" x14ac:dyDescent="0.3">
      <c r="A19" s="17"/>
      <c r="B19" s="371" t="s">
        <v>58</v>
      </c>
      <c r="C19" s="371"/>
      <c r="D19" s="371"/>
      <c r="E19" s="371"/>
      <c r="F19" s="371"/>
      <c r="G19" s="371"/>
      <c r="H19" s="371"/>
      <c r="I19" s="371"/>
      <c r="J19" s="371"/>
      <c r="K19" s="147"/>
      <c r="L19" s="53"/>
      <c r="M19" s="54"/>
      <c r="N19" s="54"/>
      <c r="O19" s="55"/>
    </row>
    <row r="20" spans="1:20" s="40" customFormat="1" ht="15.6" x14ac:dyDescent="0.3">
      <c r="A20" s="17"/>
      <c r="B20" s="371" t="s">
        <v>59</v>
      </c>
      <c r="C20" s="371"/>
      <c r="D20" s="371"/>
      <c r="E20" s="148"/>
      <c r="F20" s="372" t="s">
        <v>60</v>
      </c>
      <c r="G20" s="372"/>
      <c r="H20" s="372"/>
      <c r="I20" s="372"/>
      <c r="J20" s="372"/>
      <c r="K20" s="372"/>
      <c r="L20" s="372"/>
      <c r="M20" s="54"/>
      <c r="N20" s="54"/>
      <c r="O20" s="55"/>
    </row>
    <row r="21" spans="1:20" s="40" customFormat="1" ht="15" customHeight="1" x14ac:dyDescent="0.3">
      <c r="A21" s="17"/>
      <c r="B21" s="371" t="s">
        <v>61</v>
      </c>
      <c r="C21" s="371"/>
      <c r="D21" s="371"/>
      <c r="E21" s="371"/>
      <c r="F21" s="337"/>
      <c r="G21" s="337"/>
      <c r="H21" s="337"/>
      <c r="I21" s="341" t="s">
        <v>247</v>
      </c>
      <c r="J21" s="342"/>
      <c r="K21" s="342"/>
      <c r="L21" s="342"/>
      <c r="M21" s="54"/>
      <c r="N21" s="54"/>
      <c r="O21" s="55"/>
    </row>
    <row r="22" spans="1:20" s="40" customFormat="1" ht="15.6" x14ac:dyDescent="0.3">
      <c r="A22" s="17"/>
      <c r="B22" s="56"/>
      <c r="C22" s="370"/>
      <c r="D22" s="370"/>
      <c r="E22" s="370"/>
      <c r="F22" s="370"/>
      <c r="G22" s="370"/>
      <c r="H22" s="370"/>
      <c r="I22" s="370"/>
      <c r="J22" s="370"/>
      <c r="K22" s="370"/>
      <c r="L22" s="370"/>
      <c r="M22" s="370"/>
      <c r="N22" s="370"/>
      <c r="O22" s="370"/>
    </row>
    <row r="23" spans="1:20" s="40" customFormat="1" ht="15.6" x14ac:dyDescent="0.3">
      <c r="A23" s="344" t="s">
        <v>41</v>
      </c>
      <c r="B23" s="344"/>
      <c r="C23" s="46" t="s">
        <v>42</v>
      </c>
      <c r="D23" s="46" t="s">
        <v>43</v>
      </c>
      <c r="E23" s="46" t="s">
        <v>44</v>
      </c>
      <c r="F23" s="46" t="s">
        <v>45</v>
      </c>
      <c r="G23" s="46" t="s">
        <v>46</v>
      </c>
      <c r="H23" s="46" t="s">
        <v>47</v>
      </c>
      <c r="I23" s="46" t="s">
        <v>48</v>
      </c>
      <c r="J23" s="46" t="s">
        <v>49</v>
      </c>
      <c r="K23" s="46" t="s">
        <v>50</v>
      </c>
      <c r="L23" s="46" t="s">
        <v>51</v>
      </c>
      <c r="M23" s="46" t="s">
        <v>52</v>
      </c>
      <c r="N23" s="46" t="s">
        <v>53</v>
      </c>
      <c r="O23" s="46" t="s">
        <v>54</v>
      </c>
    </row>
    <row r="24" spans="1:20" s="40" customFormat="1" ht="15.75" customHeight="1" x14ac:dyDescent="0.3">
      <c r="A24" s="343"/>
      <c r="B24" s="343"/>
      <c r="C24" s="130"/>
      <c r="D24" s="130"/>
      <c r="E24" s="130"/>
      <c r="F24" s="130"/>
      <c r="G24" s="130"/>
      <c r="H24" s="130"/>
      <c r="I24" s="130"/>
      <c r="J24" s="130"/>
      <c r="K24" s="130"/>
      <c r="L24" s="130"/>
      <c r="M24" s="130"/>
      <c r="N24" s="130"/>
      <c r="O24" s="57" t="str">
        <f>IF(P24=1,SUM(C24:N24),"")</f>
        <v/>
      </c>
      <c r="P24" s="40" t="str">
        <f>IF(SUM(C24:N24)&gt;0,1,"")</f>
        <v/>
      </c>
    </row>
    <row r="25" spans="1:20" s="40" customFormat="1" ht="15.75" customHeight="1" x14ac:dyDescent="0.3">
      <c r="A25" s="343"/>
      <c r="B25" s="343"/>
      <c r="C25" s="130"/>
      <c r="D25" s="130"/>
      <c r="E25" s="130"/>
      <c r="F25" s="130"/>
      <c r="G25" s="130"/>
      <c r="H25" s="130"/>
      <c r="I25" s="130"/>
      <c r="J25" s="130"/>
      <c r="K25" s="130"/>
      <c r="L25" s="130"/>
      <c r="M25" s="130"/>
      <c r="N25" s="130"/>
      <c r="O25" s="57" t="str">
        <f t="shared" ref="O25:O28" si="2">IF(P25=1,SUM(C25:N25),"")</f>
        <v/>
      </c>
      <c r="P25" s="40" t="str">
        <f t="shared" ref="P25:P28" si="3">IF(SUM(C25:N25)&gt;0,1,"")</f>
        <v/>
      </c>
    </row>
    <row r="26" spans="1:20" s="40" customFormat="1" ht="15.75" customHeight="1" x14ac:dyDescent="0.3">
      <c r="A26" s="343"/>
      <c r="B26" s="343"/>
      <c r="C26" s="130"/>
      <c r="D26" s="130"/>
      <c r="E26" s="130"/>
      <c r="F26" s="130"/>
      <c r="G26" s="130"/>
      <c r="H26" s="130"/>
      <c r="I26" s="130"/>
      <c r="J26" s="130"/>
      <c r="K26" s="130"/>
      <c r="L26" s="130"/>
      <c r="M26" s="130"/>
      <c r="N26" s="130"/>
      <c r="O26" s="57" t="str">
        <f t="shared" si="2"/>
        <v/>
      </c>
      <c r="P26" s="40" t="str">
        <f t="shared" si="3"/>
        <v/>
      </c>
    </row>
    <row r="27" spans="1:20" s="40" customFormat="1" ht="15.75" customHeight="1" x14ac:dyDescent="0.3">
      <c r="A27" s="343"/>
      <c r="B27" s="343"/>
      <c r="C27" s="130"/>
      <c r="D27" s="130"/>
      <c r="E27" s="130"/>
      <c r="F27" s="130"/>
      <c r="G27" s="130"/>
      <c r="H27" s="130"/>
      <c r="I27" s="130"/>
      <c r="J27" s="130"/>
      <c r="K27" s="130"/>
      <c r="L27" s="130"/>
      <c r="M27" s="130"/>
      <c r="N27" s="130"/>
      <c r="O27" s="57" t="str">
        <f t="shared" si="2"/>
        <v/>
      </c>
      <c r="P27" s="40" t="str">
        <f t="shared" si="3"/>
        <v/>
      </c>
    </row>
    <row r="28" spans="1:20" s="40" customFormat="1" ht="15.75" customHeight="1" x14ac:dyDescent="0.3">
      <c r="A28" s="343"/>
      <c r="B28" s="343"/>
      <c r="C28" s="130"/>
      <c r="D28" s="130"/>
      <c r="E28" s="130"/>
      <c r="F28" s="130"/>
      <c r="G28" s="130"/>
      <c r="H28" s="130"/>
      <c r="I28" s="130"/>
      <c r="J28" s="130"/>
      <c r="K28" s="130"/>
      <c r="L28" s="130"/>
      <c r="M28" s="130"/>
      <c r="N28" s="130"/>
      <c r="O28" s="57" t="str">
        <f t="shared" si="2"/>
        <v/>
      </c>
      <c r="P28" s="40" t="str">
        <f t="shared" si="3"/>
        <v/>
      </c>
    </row>
    <row r="29" spans="1:20" s="40" customFormat="1" ht="15.75" customHeight="1" x14ac:dyDescent="0.3">
      <c r="A29" s="58"/>
      <c r="B29" s="350" t="s">
        <v>124</v>
      </c>
      <c r="C29" s="350"/>
      <c r="D29" s="350"/>
      <c r="E29" s="350"/>
      <c r="F29" s="350"/>
      <c r="G29" s="350"/>
      <c r="H29" s="350"/>
      <c r="I29" s="350"/>
      <c r="J29" s="350"/>
      <c r="K29" s="350"/>
      <c r="L29" s="350"/>
      <c r="M29" s="350"/>
      <c r="N29" s="58" t="s">
        <v>55</v>
      </c>
      <c r="O29" s="59" t="str">
        <f>IFERROR(AVERAGE(O24:O28),"")</f>
        <v/>
      </c>
    </row>
    <row r="30" spans="1:20" s="40" customFormat="1" ht="3.6" customHeight="1" x14ac:dyDescent="0.3">
      <c r="A30" s="60"/>
      <c r="B30" s="61"/>
      <c r="C30" s="62"/>
      <c r="D30" s="62"/>
      <c r="E30" s="62"/>
      <c r="F30" s="62"/>
      <c r="G30" s="62"/>
      <c r="H30" s="62"/>
      <c r="I30" s="62"/>
      <c r="J30" s="62"/>
      <c r="K30" s="62"/>
      <c r="L30" s="62"/>
      <c r="M30" s="62"/>
      <c r="N30" s="62"/>
      <c r="O30" s="63"/>
    </row>
    <row r="31" spans="1:20" s="41" customFormat="1" ht="26.4" customHeight="1" x14ac:dyDescent="0.3">
      <c r="B31" s="347" t="s">
        <v>71</v>
      </c>
      <c r="C31" s="347"/>
      <c r="D31" s="347"/>
      <c r="E31" s="347"/>
      <c r="F31" s="347"/>
      <c r="G31" s="149" t="str">
        <f>IF(F21="","",F21)</f>
        <v/>
      </c>
      <c r="H31" s="64" t="s">
        <v>72</v>
      </c>
      <c r="I31" s="150" t="str">
        <f>IF(F21="","",VLOOKUP(D18,S34:V51,4,FALSE))</f>
        <v/>
      </c>
      <c r="J31" s="65"/>
      <c r="K31" s="351" t="s">
        <v>181</v>
      </c>
      <c r="L31" s="352"/>
      <c r="M31" s="352"/>
      <c r="N31" s="352"/>
      <c r="O31" s="352"/>
      <c r="T31" s="152" t="s">
        <v>170</v>
      </c>
    </row>
    <row r="32" spans="1:20" s="43" customFormat="1" ht="17.399999999999999" customHeight="1" x14ac:dyDescent="0.25">
      <c r="A32" s="66"/>
      <c r="B32" s="67" t="s">
        <v>282</v>
      </c>
      <c r="C32" s="346" t="s">
        <v>73</v>
      </c>
      <c r="D32" s="346"/>
      <c r="E32" s="346"/>
      <c r="F32" s="346"/>
      <c r="G32" s="346"/>
      <c r="H32" s="346"/>
      <c r="I32" s="346"/>
      <c r="J32" s="68"/>
      <c r="K32" s="68"/>
      <c r="L32" s="68"/>
      <c r="M32" s="68"/>
      <c r="N32" s="68"/>
      <c r="O32" s="68"/>
    </row>
    <row r="33" spans="1:22" s="40" customFormat="1" ht="15.6" x14ac:dyDescent="0.3">
      <c r="A33" s="344" t="s">
        <v>41</v>
      </c>
      <c r="B33" s="344"/>
      <c r="C33" s="46" t="s">
        <v>42</v>
      </c>
      <c r="D33" s="46" t="s">
        <v>43</v>
      </c>
      <c r="E33" s="46" t="s">
        <v>44</v>
      </c>
      <c r="F33" s="46" t="s">
        <v>45</v>
      </c>
      <c r="G33" s="46" t="s">
        <v>46</v>
      </c>
      <c r="H33" s="46" t="s">
        <v>47</v>
      </c>
      <c r="I33" s="46" t="s">
        <v>48</v>
      </c>
      <c r="J33" s="46" t="s">
        <v>49</v>
      </c>
      <c r="K33" s="46" t="s">
        <v>50</v>
      </c>
      <c r="L33" s="46" t="s">
        <v>51</v>
      </c>
      <c r="M33" s="46" t="s">
        <v>52</v>
      </c>
      <c r="N33" s="46" t="s">
        <v>53</v>
      </c>
      <c r="O33" s="46" t="s">
        <v>54</v>
      </c>
      <c r="S33" s="17" t="s">
        <v>106</v>
      </c>
      <c r="T33" s="17" t="s">
        <v>107</v>
      </c>
      <c r="U33" s="17"/>
    </row>
    <row r="34" spans="1:22" s="40" customFormat="1" ht="15.75" customHeight="1" x14ac:dyDescent="0.3">
      <c r="A34" s="345" t="str">
        <f>IF(A24="","",A24)</f>
        <v/>
      </c>
      <c r="B34" s="345"/>
      <c r="C34" s="69" t="str">
        <f>IF(C24="","",IF(J31="",C24*$J$18*$K$19/1000*(100%-$E$20),C24*$J$18*$K$19*$J$31/1000*(100%-$E$20)))</f>
        <v/>
      </c>
      <c r="D34" s="69" t="str">
        <f>IF(D24="","",D24*$J$18*$K$19*$J$31/1000*(100%-$E$20))</f>
        <v/>
      </c>
      <c r="E34" s="69" t="str">
        <f t="shared" ref="E34:N34" si="4">IF(E24="","",E24*$J$18*$K$19*$J$31/1000*(100%-$E$20))</f>
        <v/>
      </c>
      <c r="F34" s="69" t="str">
        <f t="shared" si="4"/>
        <v/>
      </c>
      <c r="G34" s="69" t="str">
        <f t="shared" si="4"/>
        <v/>
      </c>
      <c r="H34" s="69" t="str">
        <f t="shared" si="4"/>
        <v/>
      </c>
      <c r="I34" s="69" t="str">
        <f>IF(I24="","",I24*$J$18*$K$19*$J$31/1000*(100%-$E$20))</f>
        <v/>
      </c>
      <c r="J34" s="69" t="str">
        <f t="shared" si="4"/>
        <v/>
      </c>
      <c r="K34" s="69" t="str">
        <f t="shared" si="4"/>
        <v/>
      </c>
      <c r="L34" s="69" t="str">
        <f t="shared" si="4"/>
        <v/>
      </c>
      <c r="M34" s="69" t="str">
        <f t="shared" si="4"/>
        <v/>
      </c>
      <c r="N34" s="69" t="str">
        <f t="shared" si="4"/>
        <v/>
      </c>
      <c r="O34" s="48" t="str">
        <f>IF(P34=1,SUM(C34:N34),"")</f>
        <v/>
      </c>
      <c r="P34" s="40" t="str">
        <f>IF(SUM(C34:N34)&gt;0,1,"")</f>
        <v/>
      </c>
      <c r="S34" s="17" t="s">
        <v>100</v>
      </c>
      <c r="T34" s="17">
        <v>11.8</v>
      </c>
      <c r="U34" s="17" t="s">
        <v>101</v>
      </c>
      <c r="V34" s="40" t="s">
        <v>99</v>
      </c>
    </row>
    <row r="35" spans="1:22" s="40" customFormat="1" ht="15.75" customHeight="1" x14ac:dyDescent="0.3">
      <c r="A35" s="345" t="str">
        <f t="shared" ref="A35:A38" si="5">IF(A25="","",A25)</f>
        <v/>
      </c>
      <c r="B35" s="345"/>
      <c r="C35" s="69" t="str">
        <f t="shared" ref="C35:N38" si="6">IF(C25="","",C25*$J$18*$K$19*$J$31/1000*(100%-$E$20))</f>
        <v/>
      </c>
      <c r="D35" s="69" t="str">
        <f t="shared" si="6"/>
        <v/>
      </c>
      <c r="E35" s="69" t="str">
        <f t="shared" si="6"/>
        <v/>
      </c>
      <c r="F35" s="69" t="str">
        <f t="shared" si="6"/>
        <v/>
      </c>
      <c r="G35" s="69" t="str">
        <f t="shared" si="6"/>
        <v/>
      </c>
      <c r="H35" s="69" t="str">
        <f t="shared" si="6"/>
        <v/>
      </c>
      <c r="I35" s="69" t="str">
        <f t="shared" si="6"/>
        <v/>
      </c>
      <c r="J35" s="69" t="str">
        <f t="shared" si="6"/>
        <v/>
      </c>
      <c r="K35" s="69" t="str">
        <f t="shared" si="6"/>
        <v/>
      </c>
      <c r="L35" s="69" t="str">
        <f t="shared" si="6"/>
        <v/>
      </c>
      <c r="M35" s="69" t="str">
        <f t="shared" si="6"/>
        <v/>
      </c>
      <c r="N35" s="69" t="str">
        <f t="shared" si="6"/>
        <v/>
      </c>
      <c r="O35" s="48" t="str">
        <f t="shared" ref="O35:O38" si="7">IF(P35=1,SUM(C35:N35),"")</f>
        <v/>
      </c>
      <c r="P35" s="40" t="str">
        <f t="shared" ref="P35:P38" si="8">IF(SUM(C35:N35)&gt;0,1,"")</f>
        <v/>
      </c>
      <c r="S35" s="17" t="s">
        <v>102</v>
      </c>
      <c r="T35" s="17">
        <v>11.28</v>
      </c>
      <c r="U35" s="17" t="s">
        <v>101</v>
      </c>
      <c r="V35" s="40" t="s">
        <v>99</v>
      </c>
    </row>
    <row r="36" spans="1:22" s="40" customFormat="1" ht="15.75" customHeight="1" x14ac:dyDescent="0.3">
      <c r="A36" s="345" t="str">
        <f t="shared" si="5"/>
        <v/>
      </c>
      <c r="B36" s="345"/>
      <c r="C36" s="69" t="str">
        <f t="shared" si="6"/>
        <v/>
      </c>
      <c r="D36" s="69" t="str">
        <f t="shared" si="6"/>
        <v/>
      </c>
      <c r="E36" s="69" t="str">
        <f t="shared" si="6"/>
        <v/>
      </c>
      <c r="F36" s="69" t="str">
        <f t="shared" si="6"/>
        <v/>
      </c>
      <c r="G36" s="69" t="str">
        <f t="shared" si="6"/>
        <v/>
      </c>
      <c r="H36" s="69" t="str">
        <f t="shared" si="6"/>
        <v/>
      </c>
      <c r="I36" s="69" t="str">
        <f t="shared" si="6"/>
        <v/>
      </c>
      <c r="J36" s="69" t="str">
        <f t="shared" si="6"/>
        <v/>
      </c>
      <c r="K36" s="69" t="str">
        <f t="shared" si="6"/>
        <v/>
      </c>
      <c r="L36" s="69" t="str">
        <f t="shared" si="6"/>
        <v/>
      </c>
      <c r="M36" s="69" t="str">
        <f t="shared" si="6"/>
        <v/>
      </c>
      <c r="N36" s="69" t="str">
        <f t="shared" si="6"/>
        <v/>
      </c>
      <c r="O36" s="48" t="str">
        <f t="shared" si="7"/>
        <v/>
      </c>
      <c r="P36" s="40" t="str">
        <f t="shared" si="8"/>
        <v/>
      </c>
      <c r="S36" s="17" t="s">
        <v>103</v>
      </c>
      <c r="T36" s="17">
        <v>12.65</v>
      </c>
      <c r="U36" s="17" t="s">
        <v>101</v>
      </c>
      <c r="V36" s="40" t="s">
        <v>99</v>
      </c>
    </row>
    <row r="37" spans="1:22" s="40" customFormat="1" ht="15.75" customHeight="1" x14ac:dyDescent="0.3">
      <c r="A37" s="345" t="str">
        <f t="shared" si="5"/>
        <v/>
      </c>
      <c r="B37" s="345"/>
      <c r="C37" s="69" t="str">
        <f t="shared" si="6"/>
        <v/>
      </c>
      <c r="D37" s="69" t="str">
        <f t="shared" si="6"/>
        <v/>
      </c>
      <c r="E37" s="69" t="str">
        <f t="shared" si="6"/>
        <v/>
      </c>
      <c r="F37" s="69" t="str">
        <f t="shared" si="6"/>
        <v/>
      </c>
      <c r="G37" s="69" t="str">
        <f t="shared" si="6"/>
        <v/>
      </c>
      <c r="H37" s="69" t="str">
        <f t="shared" si="6"/>
        <v/>
      </c>
      <c r="I37" s="69" t="str">
        <f t="shared" si="6"/>
        <v/>
      </c>
      <c r="J37" s="69" t="str">
        <f t="shared" si="6"/>
        <v/>
      </c>
      <c r="K37" s="69" t="str">
        <f t="shared" si="6"/>
        <v/>
      </c>
      <c r="L37" s="69" t="str">
        <f t="shared" si="6"/>
        <v/>
      </c>
      <c r="M37" s="69" t="str">
        <f t="shared" si="6"/>
        <v/>
      </c>
      <c r="N37" s="69" t="str">
        <f t="shared" si="6"/>
        <v/>
      </c>
      <c r="O37" s="48" t="str">
        <f t="shared" si="7"/>
        <v/>
      </c>
      <c r="P37" s="40" t="str">
        <f t="shared" si="8"/>
        <v/>
      </c>
      <c r="S37" s="17" t="s">
        <v>104</v>
      </c>
      <c r="T37" s="17">
        <v>9.16</v>
      </c>
      <c r="U37" s="17" t="s">
        <v>101</v>
      </c>
      <c r="V37" s="40" t="s">
        <v>99</v>
      </c>
    </row>
    <row r="38" spans="1:22" s="40" customFormat="1" ht="15.75" customHeight="1" x14ac:dyDescent="0.3">
      <c r="A38" s="345" t="str">
        <f t="shared" si="5"/>
        <v/>
      </c>
      <c r="B38" s="345"/>
      <c r="C38" s="69" t="str">
        <f t="shared" si="6"/>
        <v/>
      </c>
      <c r="D38" s="69" t="str">
        <f t="shared" si="6"/>
        <v/>
      </c>
      <c r="E38" s="69" t="str">
        <f t="shared" si="6"/>
        <v/>
      </c>
      <c r="F38" s="69" t="str">
        <f t="shared" si="6"/>
        <v/>
      </c>
      <c r="G38" s="69" t="str">
        <f t="shared" si="6"/>
        <v/>
      </c>
      <c r="H38" s="69" t="str">
        <f t="shared" si="6"/>
        <v/>
      </c>
      <c r="I38" s="69" t="str">
        <f t="shared" si="6"/>
        <v/>
      </c>
      <c r="J38" s="69" t="str">
        <f t="shared" si="6"/>
        <v/>
      </c>
      <c r="K38" s="69" t="str">
        <f t="shared" si="6"/>
        <v/>
      </c>
      <c r="L38" s="69" t="str">
        <f t="shared" si="6"/>
        <v/>
      </c>
      <c r="M38" s="69" t="str">
        <f t="shared" si="6"/>
        <v/>
      </c>
      <c r="N38" s="69" t="str">
        <f t="shared" si="6"/>
        <v/>
      </c>
      <c r="O38" s="48" t="str">
        <f t="shared" si="7"/>
        <v/>
      </c>
      <c r="P38" s="40" t="str">
        <f t="shared" si="8"/>
        <v/>
      </c>
      <c r="S38" s="17" t="s">
        <v>108</v>
      </c>
      <c r="T38" s="17">
        <v>6.7</v>
      </c>
      <c r="U38" s="17" t="s">
        <v>101</v>
      </c>
      <c r="V38" s="40" t="s">
        <v>99</v>
      </c>
    </row>
    <row r="39" spans="1:22" s="40" customFormat="1" ht="15.75" customHeight="1" x14ac:dyDescent="0.3">
      <c r="A39" s="369" t="s">
        <v>55</v>
      </c>
      <c r="B39" s="369"/>
      <c r="C39" s="369"/>
      <c r="D39" s="369"/>
      <c r="E39" s="369"/>
      <c r="F39" s="369"/>
      <c r="G39" s="369"/>
      <c r="H39" s="369"/>
      <c r="I39" s="369"/>
      <c r="J39" s="369"/>
      <c r="K39" s="369"/>
      <c r="L39" s="369"/>
      <c r="M39" s="369"/>
      <c r="N39" s="369"/>
      <c r="O39" s="70" t="str">
        <f>IFERROR(AVERAGE(O34:O38),"")</f>
        <v/>
      </c>
      <c r="S39" s="17" t="s">
        <v>109</v>
      </c>
      <c r="T39" s="17">
        <v>2.79</v>
      </c>
      <c r="U39" s="17" t="s">
        <v>101</v>
      </c>
      <c r="V39" s="40" t="s">
        <v>99</v>
      </c>
    </row>
    <row r="40" spans="1:22" s="40" customFormat="1" ht="15.6" customHeight="1" x14ac:dyDescent="0.3">
      <c r="A40" s="348" t="s">
        <v>97</v>
      </c>
      <c r="B40" s="348"/>
      <c r="C40" s="348"/>
      <c r="D40" s="349" t="s">
        <v>98</v>
      </c>
      <c r="E40" s="349"/>
      <c r="F40" s="349"/>
      <c r="G40" s="349"/>
      <c r="H40" s="349"/>
      <c r="I40" s="349"/>
      <c r="J40" s="349"/>
      <c r="K40" s="349"/>
      <c r="L40" s="349"/>
      <c r="M40" s="349"/>
      <c r="N40" s="349"/>
      <c r="O40" s="349"/>
      <c r="S40" s="17" t="s">
        <v>110</v>
      </c>
      <c r="T40" s="17">
        <v>9.5</v>
      </c>
      <c r="U40" s="17" t="s">
        <v>111</v>
      </c>
      <c r="V40" s="40" t="s">
        <v>70</v>
      </c>
    </row>
    <row r="41" spans="1:22" s="41" customFormat="1" ht="21" customHeight="1" x14ac:dyDescent="0.25">
      <c r="B41" s="44" t="s">
        <v>283</v>
      </c>
      <c r="C41" s="346" t="s">
        <v>62</v>
      </c>
      <c r="D41" s="346"/>
      <c r="E41" s="346"/>
      <c r="F41" s="346"/>
      <c r="G41" s="346"/>
      <c r="H41" s="346"/>
      <c r="I41" s="346"/>
      <c r="J41" s="346"/>
      <c r="K41" s="346"/>
      <c r="L41" s="346"/>
      <c r="M41" s="71"/>
      <c r="N41" s="71"/>
      <c r="O41" s="71"/>
      <c r="S41" s="17" t="s">
        <v>112</v>
      </c>
      <c r="T41" s="17">
        <v>2140</v>
      </c>
      <c r="U41" s="17" t="s">
        <v>115</v>
      </c>
      <c r="V41" s="41" t="s">
        <v>121</v>
      </c>
    </row>
    <row r="42" spans="1:22" s="40" customFormat="1" ht="15.6" x14ac:dyDescent="0.3">
      <c r="A42" s="344" t="s">
        <v>41</v>
      </c>
      <c r="B42" s="344"/>
      <c r="C42" s="46" t="s">
        <v>42</v>
      </c>
      <c r="D42" s="46" t="s">
        <v>43</v>
      </c>
      <c r="E42" s="46" t="s">
        <v>44</v>
      </c>
      <c r="F42" s="46" t="s">
        <v>45</v>
      </c>
      <c r="G42" s="46" t="s">
        <v>46</v>
      </c>
      <c r="H42" s="46" t="s">
        <v>47</v>
      </c>
      <c r="I42" s="46" t="s">
        <v>48</v>
      </c>
      <c r="J42" s="46" t="s">
        <v>49</v>
      </c>
      <c r="K42" s="46" t="s">
        <v>50</v>
      </c>
      <c r="L42" s="46" t="s">
        <v>51</v>
      </c>
      <c r="M42" s="46" t="s">
        <v>52</v>
      </c>
      <c r="N42" s="46" t="s">
        <v>53</v>
      </c>
      <c r="O42" s="46" t="s">
        <v>54</v>
      </c>
      <c r="S42" s="17" t="s">
        <v>113</v>
      </c>
      <c r="T42" s="17">
        <v>750</v>
      </c>
      <c r="U42" s="17" t="s">
        <v>114</v>
      </c>
      <c r="V42" s="40" t="s">
        <v>122</v>
      </c>
    </row>
    <row r="43" spans="1:22" s="40" customFormat="1" ht="15.75" customHeight="1" x14ac:dyDescent="0.3">
      <c r="A43" s="343"/>
      <c r="B43" s="343"/>
      <c r="C43" s="72"/>
      <c r="D43" s="72"/>
      <c r="E43" s="72"/>
      <c r="F43" s="72"/>
      <c r="G43" s="72"/>
      <c r="H43" s="72"/>
      <c r="I43" s="72"/>
      <c r="J43" s="72"/>
      <c r="K43" s="72"/>
      <c r="L43" s="72"/>
      <c r="M43" s="72"/>
      <c r="N43" s="72"/>
      <c r="O43" s="73" t="str">
        <f>IF(P43=1,SUM(C43:N43),"")</f>
        <v/>
      </c>
      <c r="P43" s="40" t="str">
        <f>IF(SUM(C43:N43)&gt;0,1,"")</f>
        <v/>
      </c>
      <c r="S43" s="17" t="s">
        <v>116</v>
      </c>
      <c r="T43" s="17">
        <v>910</v>
      </c>
      <c r="U43" s="17" t="s">
        <v>114</v>
      </c>
      <c r="V43" s="40" t="s">
        <v>122</v>
      </c>
    </row>
    <row r="44" spans="1:22" s="40" customFormat="1" ht="15.75" customHeight="1" x14ac:dyDescent="0.3">
      <c r="A44" s="343"/>
      <c r="B44" s="343"/>
      <c r="C44" s="72"/>
      <c r="D44" s="72"/>
      <c r="E44" s="72"/>
      <c r="F44" s="72"/>
      <c r="G44" s="72"/>
      <c r="H44" s="72"/>
      <c r="I44" s="72"/>
      <c r="J44" s="72"/>
      <c r="K44" s="72"/>
      <c r="L44" s="72"/>
      <c r="M44" s="72"/>
      <c r="N44" s="72"/>
      <c r="O44" s="73" t="str">
        <f t="shared" ref="O44:O47" si="9">IF(P44=1,SUM(C44:N44),"")</f>
        <v/>
      </c>
      <c r="P44" s="40" t="str">
        <f t="shared" ref="P44:P47" si="10">IF(SUM(C44:N44)&gt;0,1,"")</f>
        <v/>
      </c>
      <c r="S44" s="17" t="s">
        <v>117</v>
      </c>
      <c r="T44" s="17">
        <v>4.66</v>
      </c>
      <c r="U44" s="17" t="s">
        <v>101</v>
      </c>
      <c r="V44" s="40" t="s">
        <v>99</v>
      </c>
    </row>
    <row r="45" spans="1:22" s="40" customFormat="1" ht="15.75" customHeight="1" x14ac:dyDescent="0.3">
      <c r="A45" s="343"/>
      <c r="B45" s="343"/>
      <c r="C45" s="72"/>
      <c r="D45" s="72"/>
      <c r="E45" s="72"/>
      <c r="F45" s="72"/>
      <c r="G45" s="72"/>
      <c r="H45" s="72"/>
      <c r="I45" s="72"/>
      <c r="J45" s="72"/>
      <c r="K45" s="72"/>
      <c r="L45" s="72"/>
      <c r="M45" s="72"/>
      <c r="N45" s="72"/>
      <c r="O45" s="73" t="str">
        <f t="shared" si="9"/>
        <v/>
      </c>
      <c r="P45" s="40" t="str">
        <f t="shared" si="10"/>
        <v/>
      </c>
      <c r="S45" s="17" t="s">
        <v>119</v>
      </c>
      <c r="T45" s="17">
        <v>4.87</v>
      </c>
      <c r="U45" s="17" t="s">
        <v>101</v>
      </c>
      <c r="V45" s="40" t="s">
        <v>99</v>
      </c>
    </row>
    <row r="46" spans="1:22" s="40" customFormat="1" ht="15.75" customHeight="1" x14ac:dyDescent="0.3">
      <c r="A46" s="343"/>
      <c r="B46" s="343"/>
      <c r="C46" s="72"/>
      <c r="D46" s="72"/>
      <c r="E46" s="72"/>
      <c r="F46" s="72"/>
      <c r="G46" s="72"/>
      <c r="H46" s="72"/>
      <c r="I46" s="72"/>
      <c r="J46" s="72"/>
      <c r="K46" s="72"/>
      <c r="L46" s="72"/>
      <c r="M46" s="72"/>
      <c r="N46" s="72"/>
      <c r="O46" s="73" t="str">
        <f t="shared" si="9"/>
        <v/>
      </c>
      <c r="P46" s="40" t="str">
        <f t="shared" si="10"/>
        <v/>
      </c>
      <c r="S46" s="17"/>
      <c r="T46" s="17"/>
      <c r="U46" s="17"/>
    </row>
    <row r="47" spans="1:22" s="40" customFormat="1" ht="15.75" customHeight="1" x14ac:dyDescent="0.3">
      <c r="A47" s="343"/>
      <c r="B47" s="343"/>
      <c r="C47" s="72"/>
      <c r="D47" s="72"/>
      <c r="E47" s="72"/>
      <c r="F47" s="72"/>
      <c r="G47" s="72"/>
      <c r="H47" s="72"/>
      <c r="I47" s="72"/>
      <c r="J47" s="72"/>
      <c r="K47" s="72"/>
      <c r="L47" s="72"/>
      <c r="M47" s="72"/>
      <c r="N47" s="72"/>
      <c r="O47" s="73" t="str">
        <f t="shared" si="9"/>
        <v/>
      </c>
      <c r="P47" s="40" t="str">
        <f t="shared" si="10"/>
        <v/>
      </c>
      <c r="S47" s="17" t="s">
        <v>118</v>
      </c>
      <c r="T47" s="17">
        <v>10.33</v>
      </c>
      <c r="U47" s="17" t="s">
        <v>101</v>
      </c>
      <c r="V47" s="40" t="s">
        <v>99</v>
      </c>
    </row>
    <row r="48" spans="1:22" s="40" customFormat="1" ht="15.75" customHeight="1" x14ac:dyDescent="0.3">
      <c r="A48" s="369" t="s">
        <v>55</v>
      </c>
      <c r="B48" s="369"/>
      <c r="C48" s="369"/>
      <c r="D48" s="369"/>
      <c r="E48" s="369"/>
      <c r="F48" s="369"/>
      <c r="G48" s="369"/>
      <c r="H48" s="369"/>
      <c r="I48" s="369"/>
      <c r="J48" s="369"/>
      <c r="K48" s="369"/>
      <c r="L48" s="369"/>
      <c r="M48" s="369"/>
      <c r="N48" s="369"/>
      <c r="O48" s="70" t="str">
        <f>IFERROR(AVERAGE(O43:O47),"")</f>
        <v/>
      </c>
      <c r="S48" s="17" t="s">
        <v>120</v>
      </c>
      <c r="T48" s="17">
        <v>7.44</v>
      </c>
      <c r="U48" s="17" t="s">
        <v>101</v>
      </c>
      <c r="V48" s="40" t="s">
        <v>99</v>
      </c>
    </row>
    <row r="49" spans="1:21" s="40" customFormat="1" ht="15.6" x14ac:dyDescent="0.3">
      <c r="A49" s="60"/>
      <c r="B49" s="60"/>
      <c r="C49" s="74"/>
      <c r="D49" s="74"/>
      <c r="E49" s="74"/>
      <c r="F49" s="74"/>
      <c r="G49" s="74"/>
      <c r="H49" s="74"/>
      <c r="I49" s="74"/>
      <c r="J49" s="74"/>
      <c r="K49" s="74"/>
      <c r="L49" s="74"/>
      <c r="M49" s="74"/>
      <c r="N49" s="74"/>
      <c r="O49" s="74"/>
      <c r="S49" s="17" t="s">
        <v>190</v>
      </c>
      <c r="T49" s="17"/>
      <c r="U49" s="17"/>
    </row>
    <row r="50" spans="1:21" s="41" customFormat="1" x14ac:dyDescent="0.25">
      <c r="B50" s="44" t="s">
        <v>284</v>
      </c>
      <c r="C50" s="364" t="s">
        <v>63</v>
      </c>
      <c r="D50" s="364"/>
      <c r="E50" s="364"/>
      <c r="F50" s="364"/>
      <c r="G50" s="364"/>
      <c r="H50" s="364"/>
      <c r="I50" s="364"/>
      <c r="J50" s="364"/>
      <c r="K50" s="364"/>
      <c r="L50" s="364"/>
      <c r="M50" s="71"/>
      <c r="N50" s="71"/>
      <c r="O50" s="71"/>
      <c r="S50" s="17" t="s">
        <v>189</v>
      </c>
      <c r="T50" s="17"/>
      <c r="U50" s="17"/>
    </row>
    <row r="51" spans="1:21" s="43" customFormat="1" x14ac:dyDescent="0.25">
      <c r="B51" s="365" t="s">
        <v>66</v>
      </c>
      <c r="C51" s="365"/>
      <c r="D51" s="365"/>
      <c r="E51" s="365"/>
      <c r="F51" s="365"/>
      <c r="G51" s="365"/>
      <c r="H51" s="365"/>
      <c r="I51" s="365"/>
      <c r="J51" s="365"/>
      <c r="K51" s="365"/>
      <c r="L51" s="365"/>
      <c r="M51" s="365"/>
      <c r="N51" s="365"/>
      <c r="O51" s="365"/>
      <c r="S51" s="17" t="s">
        <v>68</v>
      </c>
      <c r="T51" s="17"/>
      <c r="U51" s="17"/>
    </row>
    <row r="52" spans="1:21" s="43" customFormat="1" x14ac:dyDescent="0.25">
      <c r="B52" s="366"/>
      <c r="C52" s="366"/>
      <c r="D52" s="366"/>
      <c r="E52" s="75" t="s">
        <v>64</v>
      </c>
      <c r="F52" s="75"/>
      <c r="G52" s="75"/>
      <c r="H52" s="75"/>
      <c r="I52" s="75"/>
      <c r="J52" s="75"/>
      <c r="K52" s="75"/>
      <c r="L52" s="75"/>
      <c r="M52" s="75"/>
      <c r="N52" s="75"/>
      <c r="O52" s="75"/>
    </row>
    <row r="53" spans="1:21" s="41" customFormat="1" ht="8.4" customHeight="1" x14ac:dyDescent="0.3">
      <c r="B53" s="76"/>
      <c r="C53" s="76"/>
      <c r="D53" s="76"/>
      <c r="E53" s="76"/>
      <c r="F53" s="76"/>
      <c r="G53" s="76"/>
      <c r="H53" s="76"/>
      <c r="I53" s="76"/>
      <c r="J53" s="76"/>
      <c r="K53" s="76"/>
      <c r="L53" s="76"/>
      <c r="M53" s="76"/>
      <c r="N53" s="76"/>
      <c r="O53" s="76"/>
    </row>
    <row r="54" spans="1:21" s="40" customFormat="1" ht="15.6" x14ac:dyDescent="0.3">
      <c r="A54" s="367" t="s">
        <v>41</v>
      </c>
      <c r="B54" s="368"/>
      <c r="C54" s="77" t="s">
        <v>42</v>
      </c>
      <c r="D54" s="77" t="s">
        <v>43</v>
      </c>
      <c r="E54" s="77" t="s">
        <v>44</v>
      </c>
      <c r="F54" s="77" t="s">
        <v>45</v>
      </c>
      <c r="G54" s="77" t="s">
        <v>46</v>
      </c>
      <c r="H54" s="77" t="s">
        <v>47</v>
      </c>
      <c r="I54" s="77" t="s">
        <v>48</v>
      </c>
      <c r="J54" s="77" t="s">
        <v>49</v>
      </c>
      <c r="K54" s="77" t="s">
        <v>50</v>
      </c>
      <c r="L54" s="77" t="s">
        <v>51</v>
      </c>
      <c r="M54" s="77" t="s">
        <v>52</v>
      </c>
      <c r="N54" s="77" t="s">
        <v>53</v>
      </c>
      <c r="O54" s="78" t="s">
        <v>54</v>
      </c>
    </row>
    <row r="55" spans="1:21" s="40" customFormat="1" ht="15.75" customHeight="1" x14ac:dyDescent="0.3">
      <c r="A55" s="343"/>
      <c r="B55" s="343"/>
      <c r="C55" s="79"/>
      <c r="D55" s="79"/>
      <c r="E55" s="79"/>
      <c r="F55" s="79"/>
      <c r="G55" s="79"/>
      <c r="H55" s="79"/>
      <c r="I55" s="79"/>
      <c r="J55" s="79"/>
      <c r="K55" s="79"/>
      <c r="L55" s="79"/>
      <c r="M55" s="79"/>
      <c r="N55" s="79"/>
      <c r="O55" s="80" t="str">
        <f>IF(P55=1,SUM(C55:N55),"")</f>
        <v/>
      </c>
      <c r="P55" s="40" t="str">
        <f>IF(SUM(C55:N55)&gt;0,1,"")</f>
        <v/>
      </c>
    </row>
    <row r="56" spans="1:21" s="40" customFormat="1" ht="15.75" customHeight="1" x14ac:dyDescent="0.3">
      <c r="A56" s="343"/>
      <c r="B56" s="343"/>
      <c r="C56" s="79"/>
      <c r="D56" s="79"/>
      <c r="E56" s="79"/>
      <c r="F56" s="79"/>
      <c r="G56" s="79"/>
      <c r="H56" s="79"/>
      <c r="I56" s="79"/>
      <c r="J56" s="79"/>
      <c r="K56" s="79"/>
      <c r="L56" s="79"/>
      <c r="M56" s="79"/>
      <c r="N56" s="79"/>
      <c r="O56" s="80" t="str">
        <f t="shared" ref="O56:O59" si="11">IF(P56=1,SUM(C56:N56),"")</f>
        <v/>
      </c>
      <c r="P56" s="40" t="str">
        <f t="shared" ref="P56:P59" si="12">IF(SUM(C56:N56)&gt;0,1,"")</f>
        <v/>
      </c>
    </row>
    <row r="57" spans="1:21" s="40" customFormat="1" ht="15.75" customHeight="1" x14ac:dyDescent="0.3">
      <c r="A57" s="343"/>
      <c r="B57" s="343"/>
      <c r="C57" s="79"/>
      <c r="D57" s="79"/>
      <c r="E57" s="79"/>
      <c r="F57" s="79"/>
      <c r="G57" s="79"/>
      <c r="H57" s="79"/>
      <c r="I57" s="79"/>
      <c r="J57" s="79"/>
      <c r="K57" s="79"/>
      <c r="L57" s="79"/>
      <c r="M57" s="79"/>
      <c r="N57" s="79"/>
      <c r="O57" s="80" t="str">
        <f t="shared" si="11"/>
        <v/>
      </c>
      <c r="P57" s="40" t="str">
        <f t="shared" si="12"/>
        <v/>
      </c>
    </row>
    <row r="58" spans="1:21" s="40" customFormat="1" ht="15.75" customHeight="1" x14ac:dyDescent="0.3">
      <c r="A58" s="343"/>
      <c r="B58" s="343"/>
      <c r="C58" s="79"/>
      <c r="D58" s="79"/>
      <c r="E58" s="79"/>
      <c r="F58" s="79"/>
      <c r="G58" s="79"/>
      <c r="H58" s="79"/>
      <c r="I58" s="79"/>
      <c r="J58" s="79"/>
      <c r="K58" s="79"/>
      <c r="L58" s="79"/>
      <c r="M58" s="79"/>
      <c r="N58" s="79"/>
      <c r="O58" s="80" t="str">
        <f t="shared" si="11"/>
        <v/>
      </c>
      <c r="P58" s="40" t="str">
        <f t="shared" si="12"/>
        <v/>
      </c>
    </row>
    <row r="59" spans="1:21" s="40" customFormat="1" ht="15.75" customHeight="1" x14ac:dyDescent="0.3">
      <c r="A59" s="343"/>
      <c r="B59" s="343"/>
      <c r="C59" s="79"/>
      <c r="D59" s="79"/>
      <c r="E59" s="79"/>
      <c r="F59" s="79"/>
      <c r="G59" s="79"/>
      <c r="H59" s="79"/>
      <c r="I59" s="79"/>
      <c r="J59" s="79"/>
      <c r="K59" s="79"/>
      <c r="L59" s="79"/>
      <c r="M59" s="79"/>
      <c r="N59" s="79"/>
      <c r="O59" s="80" t="str">
        <f t="shared" si="11"/>
        <v/>
      </c>
      <c r="P59" s="40" t="str">
        <f t="shared" si="12"/>
        <v/>
      </c>
    </row>
    <row r="60" spans="1:21" s="40" customFormat="1" ht="15.75" customHeight="1" x14ac:dyDescent="0.3">
      <c r="A60" s="363" t="s">
        <v>55</v>
      </c>
      <c r="B60" s="363"/>
      <c r="C60" s="363"/>
      <c r="D60" s="363"/>
      <c r="E60" s="363"/>
      <c r="F60" s="363"/>
      <c r="G60" s="363"/>
      <c r="H60" s="363"/>
      <c r="I60" s="363"/>
      <c r="J60" s="363"/>
      <c r="K60" s="363"/>
      <c r="L60" s="363"/>
      <c r="M60" s="363"/>
      <c r="N60" s="363"/>
      <c r="O60" s="70" t="str">
        <f>IFERROR(AVERAGE(O55:O59),"")</f>
        <v/>
      </c>
    </row>
  </sheetData>
  <mergeCells count="69">
    <mergeCell ref="A1:B1"/>
    <mergeCell ref="A3:O3"/>
    <mergeCell ref="B4:O4"/>
    <mergeCell ref="A27:B27"/>
    <mergeCell ref="A23:B23"/>
    <mergeCell ref="A24:B24"/>
    <mergeCell ref="A25:B25"/>
    <mergeCell ref="A26:B26"/>
    <mergeCell ref="B18:C18"/>
    <mergeCell ref="G18:I18"/>
    <mergeCell ref="A11:B11"/>
    <mergeCell ref="A12:B12"/>
    <mergeCell ref="A13:B13"/>
    <mergeCell ref="A14:B14"/>
    <mergeCell ref="A15:N15"/>
    <mergeCell ref="C8:N8"/>
    <mergeCell ref="A48:N48"/>
    <mergeCell ref="A39:N39"/>
    <mergeCell ref="C41:L41"/>
    <mergeCell ref="A42:B42"/>
    <mergeCell ref="A9:B9"/>
    <mergeCell ref="A10:B10"/>
    <mergeCell ref="C22:O22"/>
    <mergeCell ref="B19:J19"/>
    <mergeCell ref="B20:D20"/>
    <mergeCell ref="F20:L20"/>
    <mergeCell ref="B21:E21"/>
    <mergeCell ref="D18:F18"/>
    <mergeCell ref="A47:B47"/>
    <mergeCell ref="A35:B35"/>
    <mergeCell ref="A36:B36"/>
    <mergeCell ref="A37:B37"/>
    <mergeCell ref="A59:B59"/>
    <mergeCell ref="A60:N60"/>
    <mergeCell ref="C50:L50"/>
    <mergeCell ref="B51:O51"/>
    <mergeCell ref="B52:D52"/>
    <mergeCell ref="A54:B54"/>
    <mergeCell ref="A55:B55"/>
    <mergeCell ref="A56:B56"/>
    <mergeCell ref="A57:B57"/>
    <mergeCell ref="A58:B58"/>
    <mergeCell ref="M6:O6"/>
    <mergeCell ref="F6:K6"/>
    <mergeCell ref="B7:E7"/>
    <mergeCell ref="F7:K7"/>
    <mergeCell ref="C17:L17"/>
    <mergeCell ref="A16:C16"/>
    <mergeCell ref="B6:E6"/>
    <mergeCell ref="M7:O7"/>
    <mergeCell ref="A46:B46"/>
    <mergeCell ref="A33:B33"/>
    <mergeCell ref="A34:B34"/>
    <mergeCell ref="C32:I32"/>
    <mergeCell ref="A28:B28"/>
    <mergeCell ref="B31:F31"/>
    <mergeCell ref="A40:C40"/>
    <mergeCell ref="D40:O40"/>
    <mergeCell ref="B29:M29"/>
    <mergeCell ref="A38:B38"/>
    <mergeCell ref="A43:B43"/>
    <mergeCell ref="A44:B44"/>
    <mergeCell ref="A45:B45"/>
    <mergeCell ref="K31:O31"/>
    <mergeCell ref="F21:H21"/>
    <mergeCell ref="K18:L18"/>
    <mergeCell ref="M18:O18"/>
    <mergeCell ref="D16:N16"/>
    <mergeCell ref="I21:L21"/>
  </mergeCells>
  <conditionalFormatting sqref="O8 M17:O17 J18:K18 K19:O19 E20:F20 B17:B22 A23 J32:O32 O54 C30:O30 C17 C32 G18 C49:O49 B31:B32 O56:O60 O44:O48 O35:O39 O25:O29 O11:O15 C33:O38 F21 I21 A9:A16 M20:O21 C23:O28 C42:O47 C9:O14 C55:O59">
    <cfRule type="expression" dxfId="27" priority="26">
      <formula>#REF!=0</formula>
    </cfRule>
  </conditionalFormatting>
  <conditionalFormatting sqref="A29:A30 B29 N29">
    <cfRule type="expression" dxfId="26" priority="25">
      <formula>#REF!=0</formula>
    </cfRule>
  </conditionalFormatting>
  <conditionalFormatting sqref="A33">
    <cfRule type="expression" dxfId="25" priority="24">
      <formula>#REF!=0</formula>
    </cfRule>
  </conditionalFormatting>
  <conditionalFormatting sqref="A39">
    <cfRule type="expression" dxfId="24" priority="23">
      <formula>#REF!=0</formula>
    </cfRule>
  </conditionalFormatting>
  <conditionalFormatting sqref="M41:O41">
    <cfRule type="expression" dxfId="23" priority="22">
      <formula>#REF!=0</formula>
    </cfRule>
  </conditionalFormatting>
  <conditionalFormatting sqref="A42">
    <cfRule type="expression" dxfId="22" priority="21">
      <formula>#REF!=0</formula>
    </cfRule>
  </conditionalFormatting>
  <conditionalFormatting sqref="A48:A49">
    <cfRule type="expression" dxfId="21" priority="20">
      <formula>#REF!=0</formula>
    </cfRule>
  </conditionalFormatting>
  <conditionalFormatting sqref="M50:O50">
    <cfRule type="expression" dxfId="20" priority="19">
      <formula>#REF!=0</formula>
    </cfRule>
  </conditionalFormatting>
  <conditionalFormatting sqref="A54">
    <cfRule type="expression" dxfId="19" priority="18">
      <formula>#REF!=0</formula>
    </cfRule>
  </conditionalFormatting>
  <conditionalFormatting sqref="A60">
    <cfRule type="expression" dxfId="18" priority="17">
      <formula>#REF!=0</formula>
    </cfRule>
  </conditionalFormatting>
  <conditionalFormatting sqref="C54:N54">
    <cfRule type="expression" dxfId="17" priority="13">
      <formula>#REF!=0</formula>
    </cfRule>
  </conditionalFormatting>
  <conditionalFormatting sqref="A34:A38">
    <cfRule type="expression" dxfId="16" priority="11">
      <formula>#REF!=0</formula>
    </cfRule>
  </conditionalFormatting>
  <conditionalFormatting sqref="D18 J18 K19 E20 F21 B52">
    <cfRule type="expression" dxfId="15" priority="27">
      <formula>#REF!=1</formula>
    </cfRule>
  </conditionalFormatting>
  <conditionalFormatting sqref="A24:A28">
    <cfRule type="expression" dxfId="14" priority="4">
      <formula>#REF!=0</formula>
    </cfRule>
  </conditionalFormatting>
  <conditionalFormatting sqref="A43:A47">
    <cfRule type="expression" dxfId="13" priority="3">
      <formula>#REF!=0</formula>
    </cfRule>
  </conditionalFormatting>
  <conditionalFormatting sqref="A55:A59">
    <cfRule type="expression" dxfId="12" priority="2">
      <formula>#REF!=0</formula>
    </cfRule>
  </conditionalFormatting>
  <conditionalFormatting sqref="A40">
    <cfRule type="expression" dxfId="11" priority="1">
      <formula>#REF!=0</formula>
    </cfRule>
  </conditionalFormatting>
  <dataValidations count="4">
    <dataValidation allowBlank="1" showErrorMessage="1" errorTitle="KĻŪDA" error="Tikai veseli skaitļi robežās no 0 līdz 10000000" sqref="O29:O30 M19:O21 C34:N38 L19 M17:O17 E20:F20 I21 C49:N49 O60 J18:K18 C17 C30:N30 G18 O43:O49 O15 O39 C43:N47 C24:N28 F21 C55:N59" xr:uid="{00000000-0002-0000-0000-000000000000}"/>
    <dataValidation allowBlank="1" showErrorMessage="1" errorTitle="KĻŪDA" error="Tikai veseli skaitļi robežās no 2005 līdz 2015" sqref="A29:A30 A34:B38 B17:B22 A15:A16 A48:A49 A60 A39:A40 B29 N29" xr:uid="{00000000-0002-0000-0000-000001000000}"/>
    <dataValidation type="decimal" allowBlank="1" showErrorMessage="1" errorTitle="KĻŪDA" error="Tikai skaitļi no 0 līdz 1" sqref="K19" xr:uid="{00000000-0002-0000-0000-000002000000}">
      <formula1>0.1</formula1>
      <formula2>1</formula2>
    </dataValidation>
    <dataValidation type="list" allowBlank="1" showInputMessage="1" showErrorMessage="1" sqref="D18:F18" xr:uid="{00000000-0002-0000-0000-000003000000}">
      <formula1>$S$34:$S$51</formula1>
    </dataValidation>
  </dataValidations>
  <hyperlinks>
    <hyperlink ref="T31" r:id="rId1" xr:uid="{00000000-0004-0000-0000-000000000000}"/>
  </hyperlinks>
  <printOptions horizontalCentered="1"/>
  <pageMargins left="0.11811023622047245" right="0.11811023622047245" top="0.74803149606299213" bottom="0.74803149606299213" header="0.31496062992125984" footer="0.31496062992125984"/>
  <pageSetup paperSize="9" scale="75" orientation="portrait" horizontalDpi="1200" verticalDpi="1200" r:id="rId2"/>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68"/>
  <sheetViews>
    <sheetView showGridLines="0" workbookViewId="0">
      <selection activeCell="J63" sqref="J63:L63"/>
    </sheetView>
  </sheetViews>
  <sheetFormatPr defaultColWidth="11.44140625" defaultRowHeight="13.8" x14ac:dyDescent="0.25"/>
  <cols>
    <col min="1" max="1" width="1.44140625" style="17" customWidth="1"/>
    <col min="2" max="2" width="5.109375" style="17" customWidth="1"/>
    <col min="3" max="3" width="18.5546875" style="17" customWidth="1"/>
    <col min="4" max="4" width="18.88671875" style="17" customWidth="1"/>
    <col min="5" max="5" width="17.33203125" style="17" customWidth="1"/>
    <col min="6" max="7" width="12.5546875" style="17" customWidth="1"/>
    <col min="8" max="8" width="12.33203125" style="17" customWidth="1"/>
    <col min="9" max="9" width="11.88671875" style="17" customWidth="1"/>
    <col min="10" max="10" width="9.44140625" style="17" customWidth="1"/>
    <col min="11" max="11" width="5.5546875" style="17" customWidth="1"/>
    <col min="12" max="12" width="7.88671875" style="17" customWidth="1"/>
    <col min="13" max="16384" width="11.44140625" style="17"/>
  </cols>
  <sheetData>
    <row r="1" spans="1:12" s="18" customFormat="1" ht="30.6" x14ac:dyDescent="0.55000000000000004">
      <c r="A1" s="427" t="s">
        <v>285</v>
      </c>
      <c r="B1" s="428"/>
      <c r="C1" s="428"/>
      <c r="D1" s="428"/>
      <c r="E1" s="428"/>
      <c r="F1" s="428"/>
      <c r="G1" s="428"/>
      <c r="H1" s="428"/>
      <c r="I1" s="428"/>
      <c r="J1" s="428"/>
      <c r="K1" s="428"/>
      <c r="L1" s="429"/>
    </row>
    <row r="2" spans="1:12" s="32" customFormat="1" x14ac:dyDescent="0.25">
      <c r="A2" s="471" t="s">
        <v>30</v>
      </c>
      <c r="B2" s="471"/>
      <c r="C2" s="471"/>
      <c r="D2" s="471"/>
      <c r="E2" s="471"/>
      <c r="F2" s="471"/>
      <c r="G2" s="471"/>
      <c r="H2" s="471"/>
      <c r="I2" s="471"/>
      <c r="J2" s="471"/>
      <c r="K2" s="471"/>
      <c r="L2" s="471"/>
    </row>
    <row r="3" spans="1:12" s="246" customFormat="1" ht="13.2" x14ac:dyDescent="0.25">
      <c r="A3" s="19"/>
      <c r="B3" s="87"/>
      <c r="C3" s="245"/>
      <c r="D3" s="245"/>
      <c r="E3" s="245"/>
      <c r="F3" s="89"/>
      <c r="G3" s="89"/>
      <c r="H3" s="89"/>
      <c r="I3" s="90"/>
      <c r="J3" s="90"/>
      <c r="K3" s="90"/>
      <c r="L3" s="91"/>
    </row>
    <row r="4" spans="1:12" x14ac:dyDescent="0.25">
      <c r="A4" s="21"/>
      <c r="B4" s="92"/>
      <c r="C4" s="93" t="s">
        <v>0</v>
      </c>
      <c r="D4" s="447"/>
      <c r="E4" s="448"/>
      <c r="F4" s="449"/>
      <c r="G4" s="97"/>
      <c r="H4" s="94"/>
      <c r="I4" s="95" t="s">
        <v>205</v>
      </c>
      <c r="J4" s="24"/>
      <c r="K4" s="96" t="s">
        <v>1</v>
      </c>
      <c r="L4" s="81"/>
    </row>
    <row r="5" spans="1:12" x14ac:dyDescent="0.25">
      <c r="A5" s="21"/>
      <c r="B5" s="22"/>
      <c r="C5" s="27" t="s">
        <v>2</v>
      </c>
      <c r="D5" s="432">
        <f>'1.lapa_Patēriņš'!F6</f>
        <v>0</v>
      </c>
      <c r="E5" s="433"/>
      <c r="F5" s="434"/>
      <c r="G5" s="21"/>
      <c r="H5" s="21"/>
      <c r="I5" s="23" t="s">
        <v>204</v>
      </c>
      <c r="J5" s="24"/>
      <c r="K5" s="25" t="s">
        <v>1</v>
      </c>
      <c r="L5" s="26"/>
    </row>
    <row r="6" spans="1:12" x14ac:dyDescent="0.25">
      <c r="A6" s="28"/>
      <c r="B6" s="26"/>
      <c r="C6" s="27" t="s">
        <v>33</v>
      </c>
      <c r="D6" s="435">
        <f>'1.lapa_Patēriņš'!F7</f>
        <v>0</v>
      </c>
      <c r="E6" s="436"/>
      <c r="F6" s="437"/>
      <c r="G6" s="23"/>
      <c r="H6" s="450" t="s">
        <v>128</v>
      </c>
      <c r="I6" s="451"/>
      <c r="J6" s="29"/>
      <c r="K6" s="430" t="s">
        <v>4</v>
      </c>
      <c r="L6" s="431"/>
    </row>
    <row r="7" spans="1:12" x14ac:dyDescent="0.25">
      <c r="A7" s="28"/>
      <c r="B7" s="26"/>
      <c r="C7" s="30"/>
      <c r="D7" s="31"/>
      <c r="E7" s="438"/>
      <c r="F7" s="438"/>
      <c r="G7" s="32"/>
      <c r="H7" s="26"/>
      <c r="I7" s="23" t="s">
        <v>28</v>
      </c>
      <c r="J7" s="24"/>
      <c r="K7" s="33" t="s">
        <v>5</v>
      </c>
      <c r="L7" s="26"/>
    </row>
    <row r="8" spans="1:12" x14ac:dyDescent="0.25">
      <c r="A8" s="28"/>
      <c r="B8" s="26"/>
      <c r="C8" s="474" t="s">
        <v>169</v>
      </c>
      <c r="D8" s="474"/>
      <c r="E8" s="438"/>
      <c r="F8" s="438"/>
      <c r="G8" s="32"/>
      <c r="H8" s="26"/>
      <c r="I8" s="23" t="s">
        <v>131</v>
      </c>
      <c r="J8" s="24"/>
      <c r="K8" s="33" t="s">
        <v>130</v>
      </c>
      <c r="L8" s="26"/>
    </row>
    <row r="9" spans="1:12" x14ac:dyDescent="0.25">
      <c r="A9" s="28"/>
      <c r="B9" s="26"/>
      <c r="C9" s="475" t="s">
        <v>164</v>
      </c>
      <c r="D9" s="475"/>
      <c r="E9" s="32"/>
      <c r="F9" s="211"/>
      <c r="G9" s="211"/>
      <c r="H9" s="210"/>
      <c r="I9" s="212"/>
      <c r="J9" s="213"/>
      <c r="K9" s="214"/>
      <c r="L9" s="210"/>
    </row>
    <row r="10" spans="1:12" ht="15.6" x14ac:dyDescent="0.3">
      <c r="A10" s="82"/>
      <c r="B10" s="454" t="s">
        <v>286</v>
      </c>
      <c r="C10" s="454"/>
      <c r="D10" s="454"/>
      <c r="E10" s="454"/>
      <c r="F10" s="454"/>
      <c r="G10" s="454"/>
      <c r="H10" s="454"/>
      <c r="I10" s="454"/>
      <c r="J10" s="454"/>
      <c r="K10" s="454"/>
      <c r="L10" s="454"/>
    </row>
    <row r="11" spans="1:12" ht="24" x14ac:dyDescent="0.25">
      <c r="A11" s="82"/>
      <c r="B11" s="452" t="s">
        <v>76</v>
      </c>
      <c r="C11" s="441" t="s">
        <v>126</v>
      </c>
      <c r="D11" s="442"/>
      <c r="E11" s="443"/>
      <c r="F11" s="252" t="s">
        <v>6</v>
      </c>
      <c r="G11" s="253" t="s">
        <v>136</v>
      </c>
      <c r="H11" s="253" t="s">
        <v>7</v>
      </c>
      <c r="I11" s="252" t="s">
        <v>3</v>
      </c>
      <c r="J11" s="439" t="s">
        <v>8</v>
      </c>
      <c r="K11" s="439"/>
      <c r="L11" s="439"/>
    </row>
    <row r="12" spans="1:12" x14ac:dyDescent="0.25">
      <c r="A12" s="82"/>
      <c r="B12" s="453"/>
      <c r="C12" s="444"/>
      <c r="D12" s="445"/>
      <c r="E12" s="446"/>
      <c r="F12" s="254" t="s">
        <v>5</v>
      </c>
      <c r="G12" s="254" t="s">
        <v>9</v>
      </c>
      <c r="H12" s="254" t="s">
        <v>10</v>
      </c>
      <c r="I12" s="254" t="s">
        <v>11</v>
      </c>
      <c r="J12" s="440" t="s">
        <v>12</v>
      </c>
      <c r="K12" s="440"/>
      <c r="L12" s="440"/>
    </row>
    <row r="13" spans="1:12" x14ac:dyDescent="0.25">
      <c r="A13" s="82"/>
      <c r="B13" s="403" t="s">
        <v>320</v>
      </c>
      <c r="C13" s="406" t="s">
        <v>31</v>
      </c>
      <c r="D13" s="401" t="s">
        <v>140</v>
      </c>
      <c r="E13" s="402"/>
      <c r="F13" s="24"/>
      <c r="G13" s="34"/>
      <c r="H13" s="215" t="str">
        <f t="shared" ref="H13:H39" si="0">IF(F13="","",$J$4-$J$5)</f>
        <v/>
      </c>
      <c r="I13" s="35" t="str">
        <f t="shared" ref="I13:I32" si="1">IF(F13="","",$J$6*24)</f>
        <v/>
      </c>
      <c r="J13" s="400" t="str">
        <f t="shared" ref="J13:J32" si="2">IF(F13="","",F13*G13*H13*I13/1000)</f>
        <v/>
      </c>
      <c r="K13" s="400"/>
      <c r="L13" s="400"/>
    </row>
    <row r="14" spans="1:12" x14ac:dyDescent="0.25">
      <c r="A14" s="82"/>
      <c r="B14" s="404"/>
      <c r="C14" s="407"/>
      <c r="D14" s="401" t="s">
        <v>141</v>
      </c>
      <c r="E14" s="402"/>
      <c r="F14" s="24"/>
      <c r="G14" s="34"/>
      <c r="H14" s="215" t="str">
        <f t="shared" si="0"/>
        <v/>
      </c>
      <c r="I14" s="35" t="str">
        <f t="shared" si="1"/>
        <v/>
      </c>
      <c r="J14" s="400" t="str">
        <f t="shared" si="2"/>
        <v/>
      </c>
      <c r="K14" s="400"/>
      <c r="L14" s="400"/>
    </row>
    <row r="15" spans="1:12" x14ac:dyDescent="0.25">
      <c r="A15" s="82"/>
      <c r="B15" s="404"/>
      <c r="C15" s="407"/>
      <c r="D15" s="401" t="s">
        <v>142</v>
      </c>
      <c r="E15" s="402"/>
      <c r="F15" s="24"/>
      <c r="G15" s="34"/>
      <c r="H15" s="215" t="str">
        <f t="shared" si="0"/>
        <v/>
      </c>
      <c r="I15" s="35" t="str">
        <f t="shared" si="1"/>
        <v/>
      </c>
      <c r="J15" s="400" t="str">
        <f t="shared" si="2"/>
        <v/>
      </c>
      <c r="K15" s="400"/>
      <c r="L15" s="400"/>
    </row>
    <row r="16" spans="1:12" x14ac:dyDescent="0.25">
      <c r="A16" s="82"/>
      <c r="B16" s="405"/>
      <c r="C16" s="408"/>
      <c r="D16" s="401" t="s">
        <v>143</v>
      </c>
      <c r="E16" s="402"/>
      <c r="F16" s="24"/>
      <c r="G16" s="34"/>
      <c r="H16" s="215" t="str">
        <f t="shared" si="0"/>
        <v/>
      </c>
      <c r="I16" s="35" t="str">
        <f t="shared" si="1"/>
        <v/>
      </c>
      <c r="J16" s="400" t="str">
        <f t="shared" si="2"/>
        <v/>
      </c>
      <c r="K16" s="400"/>
      <c r="L16" s="400"/>
    </row>
    <row r="17" spans="1:12" x14ac:dyDescent="0.25">
      <c r="A17" s="82"/>
      <c r="B17" s="403" t="s">
        <v>321</v>
      </c>
      <c r="C17" s="406" t="s">
        <v>139</v>
      </c>
      <c r="D17" s="401" t="s">
        <v>140</v>
      </c>
      <c r="E17" s="402"/>
      <c r="F17" s="24"/>
      <c r="G17" s="34"/>
      <c r="H17" s="215" t="str">
        <f t="shared" si="0"/>
        <v/>
      </c>
      <c r="I17" s="35" t="str">
        <f t="shared" si="1"/>
        <v/>
      </c>
      <c r="J17" s="400" t="str">
        <f t="shared" si="2"/>
        <v/>
      </c>
      <c r="K17" s="400"/>
      <c r="L17" s="400"/>
    </row>
    <row r="18" spans="1:12" x14ac:dyDescent="0.25">
      <c r="A18" s="82"/>
      <c r="B18" s="404"/>
      <c r="C18" s="407"/>
      <c r="D18" s="401" t="s">
        <v>141</v>
      </c>
      <c r="E18" s="402"/>
      <c r="F18" s="24"/>
      <c r="G18" s="34"/>
      <c r="H18" s="215" t="str">
        <f t="shared" si="0"/>
        <v/>
      </c>
      <c r="I18" s="35" t="str">
        <f t="shared" si="1"/>
        <v/>
      </c>
      <c r="J18" s="400" t="str">
        <f t="shared" si="2"/>
        <v/>
      </c>
      <c r="K18" s="400"/>
      <c r="L18" s="400"/>
    </row>
    <row r="19" spans="1:12" x14ac:dyDescent="0.25">
      <c r="A19" s="82"/>
      <c r="B19" s="404"/>
      <c r="C19" s="407"/>
      <c r="D19" s="401" t="s">
        <v>142</v>
      </c>
      <c r="E19" s="402"/>
      <c r="F19" s="24"/>
      <c r="G19" s="34"/>
      <c r="H19" s="215" t="str">
        <f t="shared" si="0"/>
        <v/>
      </c>
      <c r="I19" s="35" t="str">
        <f t="shared" si="1"/>
        <v/>
      </c>
      <c r="J19" s="400" t="str">
        <f t="shared" si="2"/>
        <v/>
      </c>
      <c r="K19" s="400"/>
      <c r="L19" s="400"/>
    </row>
    <row r="20" spans="1:12" x14ac:dyDescent="0.25">
      <c r="A20" s="82"/>
      <c r="B20" s="405"/>
      <c r="C20" s="408"/>
      <c r="D20" s="401" t="s">
        <v>143</v>
      </c>
      <c r="E20" s="402"/>
      <c r="F20" s="24"/>
      <c r="G20" s="34"/>
      <c r="H20" s="215" t="str">
        <f t="shared" si="0"/>
        <v/>
      </c>
      <c r="I20" s="35" t="str">
        <f t="shared" si="1"/>
        <v/>
      </c>
      <c r="J20" s="400" t="str">
        <f t="shared" si="2"/>
        <v/>
      </c>
      <c r="K20" s="400"/>
      <c r="L20" s="400"/>
    </row>
    <row r="21" spans="1:12" x14ac:dyDescent="0.25">
      <c r="A21" s="82"/>
      <c r="B21" s="403" t="s">
        <v>322</v>
      </c>
      <c r="C21" s="406" t="s">
        <v>32</v>
      </c>
      <c r="D21" s="401" t="s">
        <v>140</v>
      </c>
      <c r="E21" s="402"/>
      <c r="F21" s="24"/>
      <c r="G21" s="34"/>
      <c r="H21" s="276"/>
      <c r="I21" s="35" t="str">
        <f t="shared" si="1"/>
        <v/>
      </c>
      <c r="J21" s="400" t="str">
        <f t="shared" si="2"/>
        <v/>
      </c>
      <c r="K21" s="400"/>
      <c r="L21" s="400"/>
    </row>
    <row r="22" spans="1:12" x14ac:dyDescent="0.25">
      <c r="A22" s="82"/>
      <c r="B22" s="404"/>
      <c r="C22" s="407"/>
      <c r="D22" s="401" t="s">
        <v>141</v>
      </c>
      <c r="E22" s="402"/>
      <c r="F22" s="24"/>
      <c r="G22" s="34"/>
      <c r="H22" s="276" t="str">
        <f t="shared" si="0"/>
        <v/>
      </c>
      <c r="I22" s="35" t="str">
        <f t="shared" si="1"/>
        <v/>
      </c>
      <c r="J22" s="400" t="str">
        <f t="shared" si="2"/>
        <v/>
      </c>
      <c r="K22" s="400"/>
      <c r="L22" s="400"/>
    </row>
    <row r="23" spans="1:12" x14ac:dyDescent="0.25">
      <c r="A23" s="82"/>
      <c r="B23" s="404"/>
      <c r="C23" s="407"/>
      <c r="D23" s="401" t="s">
        <v>142</v>
      </c>
      <c r="E23" s="402"/>
      <c r="F23" s="24"/>
      <c r="G23" s="34"/>
      <c r="H23" s="276" t="str">
        <f t="shared" si="0"/>
        <v/>
      </c>
      <c r="I23" s="35" t="str">
        <f t="shared" si="1"/>
        <v/>
      </c>
      <c r="J23" s="400" t="str">
        <f t="shared" si="2"/>
        <v/>
      </c>
      <c r="K23" s="400"/>
      <c r="L23" s="400"/>
    </row>
    <row r="24" spans="1:12" x14ac:dyDescent="0.25">
      <c r="A24" s="82"/>
      <c r="B24" s="405"/>
      <c r="C24" s="408"/>
      <c r="D24" s="401" t="s">
        <v>143</v>
      </c>
      <c r="E24" s="402"/>
      <c r="F24" s="24"/>
      <c r="G24" s="34"/>
      <c r="H24" s="276" t="str">
        <f t="shared" si="0"/>
        <v/>
      </c>
      <c r="I24" s="35" t="str">
        <f t="shared" si="1"/>
        <v/>
      </c>
      <c r="J24" s="400" t="str">
        <f t="shared" si="2"/>
        <v/>
      </c>
      <c r="K24" s="400"/>
      <c r="L24" s="400"/>
    </row>
    <row r="25" spans="1:12" x14ac:dyDescent="0.25">
      <c r="A25" s="82"/>
      <c r="B25" s="403" t="s">
        <v>323</v>
      </c>
      <c r="C25" s="409" t="s">
        <v>145</v>
      </c>
      <c r="D25" s="401" t="s">
        <v>140</v>
      </c>
      <c r="E25" s="402"/>
      <c r="F25" s="24"/>
      <c r="G25" s="34"/>
      <c r="H25" s="215" t="str">
        <f t="shared" si="0"/>
        <v/>
      </c>
      <c r="I25" s="35" t="str">
        <f t="shared" si="1"/>
        <v/>
      </c>
      <c r="J25" s="400" t="str">
        <f t="shared" si="2"/>
        <v/>
      </c>
      <c r="K25" s="400"/>
      <c r="L25" s="400"/>
    </row>
    <row r="26" spans="1:12" x14ac:dyDescent="0.25">
      <c r="A26" s="82"/>
      <c r="B26" s="404"/>
      <c r="C26" s="410"/>
      <c r="D26" s="401" t="s">
        <v>141</v>
      </c>
      <c r="E26" s="402"/>
      <c r="F26" s="24"/>
      <c r="G26" s="34"/>
      <c r="H26" s="215" t="str">
        <f t="shared" si="0"/>
        <v/>
      </c>
      <c r="I26" s="35" t="str">
        <f t="shared" si="1"/>
        <v/>
      </c>
      <c r="J26" s="400" t="str">
        <f t="shared" si="2"/>
        <v/>
      </c>
      <c r="K26" s="400"/>
      <c r="L26" s="400"/>
    </row>
    <row r="27" spans="1:12" x14ac:dyDescent="0.25">
      <c r="A27" s="82"/>
      <c r="B27" s="404"/>
      <c r="C27" s="410"/>
      <c r="D27" s="401" t="s">
        <v>142</v>
      </c>
      <c r="E27" s="402"/>
      <c r="F27" s="24"/>
      <c r="G27" s="34"/>
      <c r="H27" s="215" t="str">
        <f t="shared" si="0"/>
        <v/>
      </c>
      <c r="I27" s="35" t="str">
        <f t="shared" si="1"/>
        <v/>
      </c>
      <c r="J27" s="400" t="str">
        <f t="shared" si="2"/>
        <v/>
      </c>
      <c r="K27" s="400"/>
      <c r="L27" s="400"/>
    </row>
    <row r="28" spans="1:12" x14ac:dyDescent="0.25">
      <c r="A28" s="82"/>
      <c r="B28" s="405"/>
      <c r="C28" s="411"/>
      <c r="D28" s="401" t="s">
        <v>143</v>
      </c>
      <c r="E28" s="402"/>
      <c r="F28" s="24"/>
      <c r="G28" s="34"/>
      <c r="H28" s="215" t="str">
        <f t="shared" si="0"/>
        <v/>
      </c>
      <c r="I28" s="35" t="str">
        <f t="shared" si="1"/>
        <v/>
      </c>
      <c r="J28" s="400" t="str">
        <f t="shared" si="2"/>
        <v/>
      </c>
      <c r="K28" s="400"/>
      <c r="L28" s="400"/>
    </row>
    <row r="29" spans="1:12" x14ac:dyDescent="0.25">
      <c r="A29" s="82"/>
      <c r="B29" s="403" t="s">
        <v>324</v>
      </c>
      <c r="C29" s="406" t="s">
        <v>144</v>
      </c>
      <c r="D29" s="401" t="s">
        <v>140</v>
      </c>
      <c r="E29" s="402"/>
      <c r="F29" s="24"/>
      <c r="G29" s="34"/>
      <c r="H29" s="215" t="str">
        <f t="shared" si="0"/>
        <v/>
      </c>
      <c r="I29" s="35" t="str">
        <f t="shared" si="1"/>
        <v/>
      </c>
      <c r="J29" s="400" t="str">
        <f t="shared" si="2"/>
        <v/>
      </c>
      <c r="K29" s="400"/>
      <c r="L29" s="400"/>
    </row>
    <row r="30" spans="1:12" x14ac:dyDescent="0.25">
      <c r="A30" s="82"/>
      <c r="B30" s="404"/>
      <c r="C30" s="407"/>
      <c r="D30" s="401" t="s">
        <v>141</v>
      </c>
      <c r="E30" s="402"/>
      <c r="F30" s="24"/>
      <c r="G30" s="34"/>
      <c r="H30" s="215" t="str">
        <f t="shared" si="0"/>
        <v/>
      </c>
      <c r="I30" s="35" t="str">
        <f t="shared" si="1"/>
        <v/>
      </c>
      <c r="J30" s="400" t="str">
        <f t="shared" si="2"/>
        <v/>
      </c>
      <c r="K30" s="400"/>
      <c r="L30" s="400"/>
    </row>
    <row r="31" spans="1:12" x14ac:dyDescent="0.25">
      <c r="A31" s="82"/>
      <c r="B31" s="404"/>
      <c r="C31" s="407"/>
      <c r="D31" s="401" t="s">
        <v>142</v>
      </c>
      <c r="E31" s="402"/>
      <c r="F31" s="24"/>
      <c r="G31" s="34"/>
      <c r="H31" s="215" t="str">
        <f t="shared" si="0"/>
        <v/>
      </c>
      <c r="I31" s="35" t="str">
        <f t="shared" si="1"/>
        <v/>
      </c>
      <c r="J31" s="400" t="str">
        <f t="shared" si="2"/>
        <v/>
      </c>
      <c r="K31" s="400"/>
      <c r="L31" s="400"/>
    </row>
    <row r="32" spans="1:12" x14ac:dyDescent="0.25">
      <c r="A32" s="82"/>
      <c r="B32" s="405"/>
      <c r="C32" s="408"/>
      <c r="D32" s="401" t="s">
        <v>143</v>
      </c>
      <c r="E32" s="402"/>
      <c r="F32" s="24"/>
      <c r="G32" s="34"/>
      <c r="H32" s="215" t="str">
        <f t="shared" si="0"/>
        <v/>
      </c>
      <c r="I32" s="35" t="str">
        <f t="shared" si="1"/>
        <v/>
      </c>
      <c r="J32" s="400" t="str">
        <f t="shared" si="2"/>
        <v/>
      </c>
      <c r="K32" s="400"/>
      <c r="L32" s="400"/>
    </row>
    <row r="33" spans="1:12" x14ac:dyDescent="0.25">
      <c r="A33" s="82"/>
      <c r="B33" s="85"/>
      <c r="C33" s="485" t="s">
        <v>13</v>
      </c>
      <c r="D33" s="486"/>
      <c r="E33" s="487"/>
      <c r="F33" s="256" t="s">
        <v>146</v>
      </c>
      <c r="G33" s="257" t="s">
        <v>147</v>
      </c>
      <c r="H33" s="216"/>
      <c r="I33" s="86"/>
      <c r="J33" s="476"/>
      <c r="K33" s="476"/>
      <c r="L33" s="477"/>
    </row>
    <row r="34" spans="1:12" x14ac:dyDescent="0.25">
      <c r="A34" s="82"/>
      <c r="B34" s="85" t="s">
        <v>325</v>
      </c>
      <c r="C34" s="423"/>
      <c r="D34" s="424"/>
      <c r="E34" s="425"/>
      <c r="F34" s="24"/>
      <c r="G34" s="34"/>
      <c r="H34" s="217" t="str">
        <f t="shared" si="0"/>
        <v/>
      </c>
      <c r="I34" s="35" t="str">
        <f>IF(F34="","",$J$6*24)</f>
        <v/>
      </c>
      <c r="J34" s="400" t="str">
        <f t="shared" ref="J34:J39" si="3">IF(F34="","",F34*G34*H34*I34/1000)</f>
        <v/>
      </c>
      <c r="K34" s="400"/>
      <c r="L34" s="400"/>
    </row>
    <row r="35" spans="1:12" x14ac:dyDescent="0.25">
      <c r="A35" s="82"/>
      <c r="B35" s="248" t="s">
        <v>326</v>
      </c>
      <c r="C35" s="401" t="s">
        <v>372</v>
      </c>
      <c r="D35" s="455"/>
      <c r="E35" s="402"/>
      <c r="F35" s="24"/>
      <c r="G35" s="34"/>
      <c r="H35" s="217">
        <f>H21</f>
        <v>0</v>
      </c>
      <c r="I35" s="35" t="str">
        <f t="shared" ref="I35:I39" si="4">IF(F35="","",$J$6*24)</f>
        <v/>
      </c>
      <c r="J35" s="400" t="str">
        <f t="shared" si="3"/>
        <v/>
      </c>
      <c r="K35" s="400"/>
      <c r="L35" s="400"/>
    </row>
    <row r="36" spans="1:12" x14ac:dyDescent="0.25">
      <c r="A36" s="82"/>
      <c r="B36" s="248" t="s">
        <v>327</v>
      </c>
      <c r="C36" s="423"/>
      <c r="D36" s="424"/>
      <c r="E36" s="425"/>
      <c r="F36" s="24"/>
      <c r="G36" s="34"/>
      <c r="H36" s="217" t="str">
        <f t="shared" si="0"/>
        <v/>
      </c>
      <c r="I36" s="35" t="str">
        <f t="shared" si="4"/>
        <v/>
      </c>
      <c r="J36" s="400" t="str">
        <f t="shared" si="3"/>
        <v/>
      </c>
      <c r="K36" s="400"/>
      <c r="L36" s="400"/>
    </row>
    <row r="37" spans="1:12" x14ac:dyDescent="0.25">
      <c r="A37" s="82"/>
      <c r="B37" s="248" t="s">
        <v>328</v>
      </c>
      <c r="C37" s="423"/>
      <c r="D37" s="424"/>
      <c r="E37" s="425"/>
      <c r="F37" s="24"/>
      <c r="G37" s="34"/>
      <c r="H37" s="217" t="str">
        <f t="shared" si="0"/>
        <v/>
      </c>
      <c r="I37" s="35" t="str">
        <f t="shared" si="4"/>
        <v/>
      </c>
      <c r="J37" s="400" t="str">
        <f t="shared" si="3"/>
        <v/>
      </c>
      <c r="K37" s="400"/>
      <c r="L37" s="400"/>
    </row>
    <row r="38" spans="1:12" x14ac:dyDescent="0.25">
      <c r="A38" s="82"/>
      <c r="B38" s="248" t="s">
        <v>329</v>
      </c>
      <c r="C38" s="423"/>
      <c r="D38" s="424"/>
      <c r="E38" s="425"/>
      <c r="F38" s="24"/>
      <c r="G38" s="34"/>
      <c r="H38" s="217" t="str">
        <f t="shared" si="0"/>
        <v/>
      </c>
      <c r="I38" s="35" t="str">
        <f t="shared" ref="I38" si="5">IF(F38="","",$J$6*24)</f>
        <v/>
      </c>
      <c r="J38" s="400" t="str">
        <f t="shared" si="3"/>
        <v/>
      </c>
      <c r="K38" s="400"/>
      <c r="L38" s="400"/>
    </row>
    <row r="39" spans="1:12" x14ac:dyDescent="0.25">
      <c r="A39" s="82"/>
      <c r="B39" s="248" t="s">
        <v>330</v>
      </c>
      <c r="C39" s="423"/>
      <c r="D39" s="424"/>
      <c r="E39" s="425"/>
      <c r="F39" s="24"/>
      <c r="G39" s="34"/>
      <c r="H39" s="217" t="str">
        <f t="shared" si="0"/>
        <v/>
      </c>
      <c r="I39" s="35" t="str">
        <f t="shared" si="4"/>
        <v/>
      </c>
      <c r="J39" s="400" t="str">
        <f t="shared" si="3"/>
        <v/>
      </c>
      <c r="K39" s="400"/>
      <c r="L39" s="400"/>
    </row>
    <row r="40" spans="1:12" ht="15.6" x14ac:dyDescent="0.25">
      <c r="A40" s="473" t="s">
        <v>127</v>
      </c>
      <c r="B40" s="473"/>
      <c r="C40" s="473"/>
      <c r="D40" s="473"/>
      <c r="E40" s="473"/>
      <c r="F40" s="473"/>
      <c r="G40" s="473"/>
      <c r="H40" s="473"/>
      <c r="I40" s="473"/>
      <c r="J40" s="456">
        <f>ROUND(SUM(J13:L32,J34:L39),0)</f>
        <v>0</v>
      </c>
      <c r="K40" s="456"/>
      <c r="L40" s="456"/>
    </row>
    <row r="41" spans="1:12" ht="15.6" x14ac:dyDescent="0.25">
      <c r="A41" s="83"/>
      <c r="B41" s="99" t="s">
        <v>287</v>
      </c>
      <c r="C41" s="99"/>
      <c r="D41" s="99"/>
      <c r="E41" s="83"/>
      <c r="F41" s="82"/>
      <c r="G41" s="478"/>
      <c r="H41" s="478"/>
      <c r="I41" s="104"/>
      <c r="J41" s="105"/>
      <c r="K41" s="106"/>
      <c r="L41" s="81"/>
    </row>
    <row r="42" spans="1:12" ht="24" x14ac:dyDescent="0.25">
      <c r="A42" s="83"/>
      <c r="B42" s="420" t="s">
        <v>76</v>
      </c>
      <c r="C42" s="488" t="s">
        <v>129</v>
      </c>
      <c r="D42" s="253" t="s">
        <v>132</v>
      </c>
      <c r="E42" s="253" t="s">
        <v>15</v>
      </c>
      <c r="F42" s="479" t="s">
        <v>16</v>
      </c>
      <c r="G42" s="480"/>
      <c r="H42" s="253" t="s">
        <v>7</v>
      </c>
      <c r="I42" s="253" t="s">
        <v>3</v>
      </c>
      <c r="J42" s="416" t="s">
        <v>135</v>
      </c>
      <c r="K42" s="416"/>
      <c r="L42" s="416"/>
    </row>
    <row r="43" spans="1:12" s="109" customFormat="1" ht="12.6" x14ac:dyDescent="0.2">
      <c r="A43" s="108"/>
      <c r="B43" s="420"/>
      <c r="C43" s="489"/>
      <c r="D43" s="254" t="s">
        <v>130</v>
      </c>
      <c r="E43" s="254" t="s">
        <v>153</v>
      </c>
      <c r="F43" s="481" t="s">
        <v>133</v>
      </c>
      <c r="G43" s="482"/>
      <c r="H43" s="254" t="s">
        <v>10</v>
      </c>
      <c r="I43" s="254" t="s">
        <v>11</v>
      </c>
      <c r="J43" s="417" t="s">
        <v>12</v>
      </c>
      <c r="K43" s="417"/>
      <c r="L43" s="417"/>
    </row>
    <row r="44" spans="1:12" x14ac:dyDescent="0.25">
      <c r="A44" s="83"/>
      <c r="B44" s="114" t="s">
        <v>331</v>
      </c>
      <c r="C44" s="112" t="s">
        <v>206</v>
      </c>
      <c r="D44" s="218">
        <f>J8</f>
        <v>0</v>
      </c>
      <c r="E44" s="313"/>
      <c r="F44" s="421"/>
      <c r="G44" s="422"/>
      <c r="H44" s="141" t="str">
        <f>IF(D44&gt;0,($J$4-$J$5)*(1-F44/100),"")</f>
        <v/>
      </c>
      <c r="I44" s="37" t="str">
        <f>IF(D44&gt;0,$J$6*24,"")</f>
        <v/>
      </c>
      <c r="J44" s="400" t="str">
        <f>IF(D44&gt;0,D44*0.336*E44*H44*I44/1000,"")</f>
        <v/>
      </c>
      <c r="K44" s="400"/>
      <c r="L44" s="400"/>
    </row>
    <row r="45" spans="1:12" x14ac:dyDescent="0.25">
      <c r="A45" s="83"/>
      <c r="B45" s="114" t="s">
        <v>332</v>
      </c>
      <c r="C45" s="112" t="s">
        <v>207</v>
      </c>
      <c r="D45" s="113"/>
      <c r="E45" s="184"/>
      <c r="F45" s="483"/>
      <c r="G45" s="484"/>
      <c r="H45" s="141" t="str">
        <f t="shared" ref="H45:H46" si="6">IF(D45&gt;0,($J$4-$J$5)*(1-F45/100),"")</f>
        <v/>
      </c>
      <c r="I45" s="111"/>
      <c r="J45" s="400" t="str">
        <f>IF(D45&gt;0,D45*0.336*E45*H45*I45/1000,"")</f>
        <v/>
      </c>
      <c r="K45" s="400"/>
      <c r="L45" s="400"/>
    </row>
    <row r="46" spans="1:12" x14ac:dyDescent="0.25">
      <c r="A46" s="83"/>
      <c r="B46" s="114" t="s">
        <v>333</v>
      </c>
      <c r="C46" s="112" t="s">
        <v>208</v>
      </c>
      <c r="D46" s="288">
        <f>D44</f>
        <v>0</v>
      </c>
      <c r="E46" s="289">
        <v>0.3</v>
      </c>
      <c r="F46" s="421"/>
      <c r="G46" s="422"/>
      <c r="H46" s="141" t="str">
        <f t="shared" si="6"/>
        <v/>
      </c>
      <c r="I46" s="37">
        <f>J6*24</f>
        <v>0</v>
      </c>
      <c r="J46" s="400" t="str">
        <f>IFERROR(IF(D46="","",D46*0.336*E46*H46*I46/1000),"")</f>
        <v/>
      </c>
      <c r="K46" s="400"/>
      <c r="L46" s="400"/>
    </row>
    <row r="47" spans="1:12" ht="15.6" x14ac:dyDescent="0.25">
      <c r="A47" s="472" t="s">
        <v>134</v>
      </c>
      <c r="B47" s="472"/>
      <c r="C47" s="472"/>
      <c r="D47" s="472"/>
      <c r="E47" s="472"/>
      <c r="F47" s="472"/>
      <c r="G47" s="472"/>
      <c r="H47" s="472"/>
      <c r="I47" s="472"/>
      <c r="J47" s="456">
        <f>SUM(J44:L46)</f>
        <v>0</v>
      </c>
      <c r="K47" s="456"/>
      <c r="L47" s="456"/>
    </row>
    <row r="48" spans="1:12" ht="17.399999999999999" x14ac:dyDescent="0.25">
      <c r="A48" s="98"/>
      <c r="B48" s="99"/>
      <c r="C48" s="100"/>
      <c r="D48" s="100"/>
      <c r="E48" s="100"/>
      <c r="F48" s="81"/>
      <c r="G48" s="101"/>
      <c r="H48" s="101"/>
      <c r="I48" s="102"/>
      <c r="J48" s="101"/>
      <c r="K48" s="103"/>
      <c r="L48" s="102"/>
    </row>
    <row r="49" spans="1:12" ht="15.6" x14ac:dyDescent="0.25">
      <c r="A49" s="83"/>
      <c r="B49" s="465" t="s">
        <v>288</v>
      </c>
      <c r="C49" s="465"/>
      <c r="D49" s="465"/>
      <c r="E49" s="465"/>
      <c r="F49" s="465"/>
      <c r="G49" s="465"/>
      <c r="H49" s="465"/>
      <c r="I49" s="465"/>
      <c r="J49" s="465"/>
      <c r="K49" s="465"/>
      <c r="L49" s="465"/>
    </row>
    <row r="50" spans="1:12" ht="24" x14ac:dyDescent="0.25">
      <c r="A50" s="83"/>
      <c r="B50" s="412" t="s">
        <v>76</v>
      </c>
      <c r="C50" s="413" t="s">
        <v>17</v>
      </c>
      <c r="D50" s="247" t="s">
        <v>137</v>
      </c>
      <c r="E50" s="344" t="s">
        <v>180</v>
      </c>
      <c r="F50" s="415" t="s">
        <v>18</v>
      </c>
      <c r="G50" s="415" t="s">
        <v>155</v>
      </c>
      <c r="H50" s="415" t="s">
        <v>154</v>
      </c>
      <c r="I50" s="415"/>
      <c r="J50" s="418" t="s">
        <v>148</v>
      </c>
      <c r="K50" s="418"/>
      <c r="L50" s="418"/>
    </row>
    <row r="51" spans="1:12" x14ac:dyDescent="0.25">
      <c r="A51" s="83"/>
      <c r="B51" s="412"/>
      <c r="C51" s="413"/>
      <c r="D51" s="255" t="s">
        <v>138</v>
      </c>
      <c r="E51" s="344"/>
      <c r="F51" s="415"/>
      <c r="G51" s="415"/>
      <c r="H51" s="419" t="s">
        <v>125</v>
      </c>
      <c r="I51" s="419"/>
      <c r="J51" s="417" t="s">
        <v>12</v>
      </c>
      <c r="K51" s="417"/>
      <c r="L51" s="417"/>
    </row>
    <row r="52" spans="1:12" x14ac:dyDescent="0.25">
      <c r="A52" s="82"/>
      <c r="B52" s="85" t="s">
        <v>334</v>
      </c>
      <c r="C52" s="119" t="s">
        <v>19</v>
      </c>
      <c r="D52" s="121"/>
      <c r="E52" s="414" t="str">
        <f>IF(F25="","",(D52+D53+D54+D55+D56)/(F25+F26+F27+F28))</f>
        <v/>
      </c>
      <c r="F52" s="110"/>
      <c r="G52" s="34"/>
      <c r="H52" s="277"/>
      <c r="I52" s="278"/>
      <c r="J52" s="426">
        <f>D52*F52*G52*H52</f>
        <v>0</v>
      </c>
      <c r="K52" s="426"/>
      <c r="L52" s="426"/>
    </row>
    <row r="53" spans="1:12" x14ac:dyDescent="0.25">
      <c r="A53" s="82"/>
      <c r="B53" s="248" t="s">
        <v>335</v>
      </c>
      <c r="C53" s="119" t="s">
        <v>20</v>
      </c>
      <c r="D53" s="121"/>
      <c r="E53" s="414"/>
      <c r="F53" s="110"/>
      <c r="G53" s="34"/>
      <c r="H53" s="277"/>
      <c r="I53" s="278"/>
      <c r="J53" s="426">
        <f t="shared" ref="J53:J56" si="7">D53*F53*G53*H53</f>
        <v>0</v>
      </c>
      <c r="K53" s="426"/>
      <c r="L53" s="426"/>
    </row>
    <row r="54" spans="1:12" x14ac:dyDescent="0.25">
      <c r="A54" s="82"/>
      <c r="B54" s="248" t="s">
        <v>336</v>
      </c>
      <c r="C54" s="119" t="s">
        <v>21</v>
      </c>
      <c r="D54" s="121"/>
      <c r="E54" s="414"/>
      <c r="F54" s="110"/>
      <c r="G54" s="34"/>
      <c r="H54" s="277"/>
      <c r="I54" s="278"/>
      <c r="J54" s="426">
        <f t="shared" si="7"/>
        <v>0</v>
      </c>
      <c r="K54" s="426"/>
      <c r="L54" s="426"/>
    </row>
    <row r="55" spans="1:12" x14ac:dyDescent="0.25">
      <c r="A55" s="82"/>
      <c r="B55" s="248" t="s">
        <v>337</v>
      </c>
      <c r="C55" s="119" t="s">
        <v>22</v>
      </c>
      <c r="D55" s="121"/>
      <c r="E55" s="414"/>
      <c r="F55" s="110"/>
      <c r="G55" s="34"/>
      <c r="H55" s="277"/>
      <c r="I55" s="278"/>
      <c r="J55" s="426">
        <f t="shared" si="7"/>
        <v>0</v>
      </c>
      <c r="K55" s="426"/>
      <c r="L55" s="426"/>
    </row>
    <row r="56" spans="1:12" x14ac:dyDescent="0.25">
      <c r="A56" s="82"/>
      <c r="B56" s="248" t="s">
        <v>338</v>
      </c>
      <c r="C56" s="119" t="s">
        <v>23</v>
      </c>
      <c r="D56" s="122"/>
      <c r="E56" s="414"/>
      <c r="F56" s="120"/>
      <c r="G56" s="115"/>
      <c r="H56" s="277"/>
      <c r="I56" s="278"/>
      <c r="J56" s="426">
        <f t="shared" si="7"/>
        <v>0</v>
      </c>
      <c r="K56" s="426"/>
      <c r="L56" s="426"/>
    </row>
    <row r="57" spans="1:12" x14ac:dyDescent="0.25">
      <c r="A57" s="82"/>
      <c r="B57" s="248" t="s">
        <v>339</v>
      </c>
      <c r="C57" s="457" t="s">
        <v>24</v>
      </c>
      <c r="D57" s="458"/>
      <c r="E57" s="116"/>
      <c r="F57" s="117"/>
      <c r="G57" s="117"/>
      <c r="H57" s="117"/>
      <c r="I57" s="118"/>
      <c r="J57" s="467"/>
      <c r="K57" s="467"/>
      <c r="L57" s="467"/>
    </row>
    <row r="58" spans="1:12" ht="15.6" x14ac:dyDescent="0.25">
      <c r="A58" s="459" t="s">
        <v>149</v>
      </c>
      <c r="B58" s="459"/>
      <c r="C58" s="459"/>
      <c r="D58" s="459"/>
      <c r="E58" s="459"/>
      <c r="F58" s="459"/>
      <c r="G58" s="459"/>
      <c r="H58" s="459"/>
      <c r="I58" s="459"/>
      <c r="J58" s="456">
        <f>SUM(J52:L57)</f>
        <v>0</v>
      </c>
      <c r="K58" s="456"/>
      <c r="L58" s="456"/>
    </row>
    <row r="59" spans="1:12" ht="15.6" x14ac:dyDescent="0.25">
      <c r="A59" s="84"/>
      <c r="B59" s="465" t="s">
        <v>289</v>
      </c>
      <c r="C59" s="465"/>
      <c r="D59" s="465"/>
      <c r="E59" s="465"/>
      <c r="F59" s="465"/>
      <c r="G59" s="465"/>
      <c r="H59" s="465"/>
      <c r="I59" s="465"/>
      <c r="J59" s="465"/>
      <c r="K59" s="465"/>
      <c r="L59" s="465"/>
    </row>
    <row r="60" spans="1:12" x14ac:dyDescent="0.25">
      <c r="A60" s="83"/>
      <c r="B60" s="415" t="s">
        <v>25</v>
      </c>
      <c r="C60" s="415"/>
      <c r="D60" s="415"/>
      <c r="E60" s="415" t="s">
        <v>209</v>
      </c>
      <c r="F60" s="415"/>
      <c r="G60" s="415"/>
      <c r="H60" s="415" t="s">
        <v>67</v>
      </c>
      <c r="I60" s="415"/>
      <c r="J60" s="466" t="s">
        <v>151</v>
      </c>
      <c r="K60" s="466"/>
      <c r="L60" s="466"/>
    </row>
    <row r="61" spans="1:12" s="109" customFormat="1" ht="12.6" x14ac:dyDescent="0.2">
      <c r="A61" s="123"/>
      <c r="B61" s="419" t="s">
        <v>26</v>
      </c>
      <c r="C61" s="419"/>
      <c r="D61" s="419"/>
      <c r="E61" s="460" t="s">
        <v>150</v>
      </c>
      <c r="F61" s="460"/>
      <c r="G61" s="460"/>
      <c r="H61" s="419" t="s">
        <v>5</v>
      </c>
      <c r="I61" s="419"/>
      <c r="J61" s="440" t="s">
        <v>12</v>
      </c>
      <c r="K61" s="440"/>
      <c r="L61" s="440"/>
    </row>
    <row r="62" spans="1:12" ht="18" x14ac:dyDescent="0.25">
      <c r="A62" s="107"/>
      <c r="B62" s="463">
        <f>J6*24</f>
        <v>0</v>
      </c>
      <c r="C62" s="463"/>
      <c r="D62" s="464"/>
      <c r="E62" s="468"/>
      <c r="F62" s="469"/>
      <c r="G62" s="470"/>
      <c r="H62" s="461">
        <f>J7</f>
        <v>0</v>
      </c>
      <c r="I62" s="462"/>
      <c r="J62" s="456">
        <f>B62*E62*H62/1000</f>
        <v>0</v>
      </c>
      <c r="K62" s="456"/>
      <c r="L62" s="456"/>
    </row>
    <row r="63" spans="1:12" ht="17.399999999999999" x14ac:dyDescent="0.25">
      <c r="A63" s="166"/>
      <c r="B63" s="382" t="s">
        <v>290</v>
      </c>
      <c r="C63" s="383"/>
      <c r="D63" s="383"/>
      <c r="E63" s="384"/>
      <c r="F63" s="384"/>
      <c r="G63" s="384"/>
      <c r="H63" s="383"/>
      <c r="I63" s="385"/>
      <c r="J63" s="397"/>
      <c r="K63" s="398"/>
      <c r="L63" s="399"/>
    </row>
    <row r="64" spans="1:12" ht="17.399999999999999" x14ac:dyDescent="0.25">
      <c r="A64" s="98"/>
      <c r="B64" s="99"/>
      <c r="C64" s="100"/>
      <c r="D64" s="100"/>
      <c r="E64" s="100"/>
      <c r="F64" s="81"/>
      <c r="G64" s="101"/>
      <c r="H64" s="101"/>
      <c r="I64" s="102" t="s">
        <v>14</v>
      </c>
      <c r="J64" s="101"/>
      <c r="K64" s="103"/>
      <c r="L64" s="102"/>
    </row>
    <row r="65" spans="1:12" x14ac:dyDescent="0.25">
      <c r="A65" s="82"/>
      <c r="B65" s="84"/>
      <c r="C65" s="84"/>
      <c r="D65" s="84"/>
      <c r="E65" s="84"/>
      <c r="F65" s="84"/>
      <c r="G65" s="84"/>
      <c r="H65" s="387" t="s">
        <v>156</v>
      </c>
      <c r="I65" s="387"/>
      <c r="J65" s="388" t="s">
        <v>12</v>
      </c>
      <c r="K65" s="388"/>
      <c r="L65" s="388"/>
    </row>
    <row r="66" spans="1:12" s="129" customFormat="1" ht="18" x14ac:dyDescent="0.35">
      <c r="A66" s="98"/>
      <c r="B66" s="251" t="s">
        <v>291</v>
      </c>
      <c r="C66" s="394" t="s">
        <v>152</v>
      </c>
      <c r="D66" s="395"/>
      <c r="E66" s="395"/>
      <c r="F66" s="395"/>
      <c r="G66" s="396"/>
      <c r="H66" s="390">
        <f>IF(J66=0,0,J66/J7)</f>
        <v>0</v>
      </c>
      <c r="I66" s="390"/>
      <c r="J66" s="389">
        <f>J40+J47-(J58+J62)*J63</f>
        <v>0</v>
      </c>
      <c r="K66" s="389"/>
      <c r="L66" s="389"/>
    </row>
    <row r="67" spans="1:12" ht="20.399999999999999" x14ac:dyDescent="0.25">
      <c r="A67" s="124"/>
      <c r="B67" s="386" t="s">
        <v>157</v>
      </c>
      <c r="C67" s="386"/>
      <c r="D67" s="386"/>
      <c r="E67" s="386"/>
      <c r="F67" s="386"/>
      <c r="G67" s="386"/>
      <c r="H67" s="386"/>
      <c r="I67" s="386"/>
      <c r="J67" s="386"/>
      <c r="K67" s="386"/>
      <c r="L67" s="386"/>
    </row>
    <row r="68" spans="1:12" s="128" customFormat="1" ht="15.6" x14ac:dyDescent="0.3">
      <c r="A68" s="127"/>
      <c r="B68" s="392" t="s">
        <v>29</v>
      </c>
      <c r="C68" s="392"/>
      <c r="D68" s="392"/>
      <c r="E68" s="392"/>
      <c r="F68" s="392"/>
      <c r="G68" s="392"/>
      <c r="H68" s="391">
        <v>90</v>
      </c>
      <c r="I68" s="391"/>
      <c r="J68" s="125" t="s">
        <v>27</v>
      </c>
      <c r="K68" s="393" t="str">
        <f>IF(H66&gt;H68,"NĒ","Jā")</f>
        <v>Jā</v>
      </c>
      <c r="L68" s="393"/>
    </row>
  </sheetData>
  <sheetProtection formatCells="0" formatColumns="0" formatRows="0" insertColumns="0" insertRows="0" deleteColumns="0" deleteRows="0" selectLockedCells="1" selectUnlockedCells="1"/>
  <mergeCells count="141">
    <mergeCell ref="A2:L2"/>
    <mergeCell ref="J52:L52"/>
    <mergeCell ref="J51:L51"/>
    <mergeCell ref="J53:L53"/>
    <mergeCell ref="J54:L54"/>
    <mergeCell ref="J55:L55"/>
    <mergeCell ref="J47:L47"/>
    <mergeCell ref="J38:L38"/>
    <mergeCell ref="B49:L49"/>
    <mergeCell ref="A47:I47"/>
    <mergeCell ref="A40:I40"/>
    <mergeCell ref="C8:D8"/>
    <mergeCell ref="C9:D9"/>
    <mergeCell ref="J33:L33"/>
    <mergeCell ref="J40:L40"/>
    <mergeCell ref="G41:H41"/>
    <mergeCell ref="F42:G42"/>
    <mergeCell ref="F43:G43"/>
    <mergeCell ref="F44:G44"/>
    <mergeCell ref="F45:G45"/>
    <mergeCell ref="C33:E33"/>
    <mergeCell ref="C38:E38"/>
    <mergeCell ref="C42:C43"/>
    <mergeCell ref="D21:E21"/>
    <mergeCell ref="J39:L39"/>
    <mergeCell ref="C34:E34"/>
    <mergeCell ref="J34:L34"/>
    <mergeCell ref="C35:E35"/>
    <mergeCell ref="J35:L35"/>
    <mergeCell ref="J62:L62"/>
    <mergeCell ref="C57:D57"/>
    <mergeCell ref="A58:I58"/>
    <mergeCell ref="J58:L58"/>
    <mergeCell ref="J61:L61"/>
    <mergeCell ref="B61:D61"/>
    <mergeCell ref="E61:G61"/>
    <mergeCell ref="H61:I61"/>
    <mergeCell ref="H62:I62"/>
    <mergeCell ref="B62:D62"/>
    <mergeCell ref="B59:L59"/>
    <mergeCell ref="B60:D60"/>
    <mergeCell ref="E60:G60"/>
    <mergeCell ref="H60:I60"/>
    <mergeCell ref="J60:L60"/>
    <mergeCell ref="J57:L57"/>
    <mergeCell ref="E62:G62"/>
    <mergeCell ref="B21:B24"/>
    <mergeCell ref="C21:C24"/>
    <mergeCell ref="D24:E24"/>
    <mergeCell ref="A1:L1"/>
    <mergeCell ref="K6:L6"/>
    <mergeCell ref="D5:F5"/>
    <mergeCell ref="D6:F6"/>
    <mergeCell ref="E7:F7"/>
    <mergeCell ref="J11:L11"/>
    <mergeCell ref="J12:L12"/>
    <mergeCell ref="J13:L13"/>
    <mergeCell ref="C11:E12"/>
    <mergeCell ref="D4:F4"/>
    <mergeCell ref="H6:I6"/>
    <mergeCell ref="B11:B12"/>
    <mergeCell ref="B10:L10"/>
    <mergeCell ref="E8:F8"/>
    <mergeCell ref="B13:B16"/>
    <mergeCell ref="C13:C16"/>
    <mergeCell ref="D13:E13"/>
    <mergeCell ref="D14:E14"/>
    <mergeCell ref="D15:E15"/>
    <mergeCell ref="D16:E16"/>
    <mergeCell ref="B17:B20"/>
    <mergeCell ref="C17:C20"/>
    <mergeCell ref="D17:E17"/>
    <mergeCell ref="J17:L17"/>
    <mergeCell ref="D18:E18"/>
    <mergeCell ref="J18:L18"/>
    <mergeCell ref="D19:E19"/>
    <mergeCell ref="J19:L19"/>
    <mergeCell ref="J14:L14"/>
    <mergeCell ref="J15:L15"/>
    <mergeCell ref="J16:L16"/>
    <mergeCell ref="D20:E20"/>
    <mergeCell ref="J20:L20"/>
    <mergeCell ref="D28:E28"/>
    <mergeCell ref="J28:L28"/>
    <mergeCell ref="B50:B51"/>
    <mergeCell ref="C50:C51"/>
    <mergeCell ref="E52:E56"/>
    <mergeCell ref="E50:E51"/>
    <mergeCell ref="G50:G51"/>
    <mergeCell ref="F50:F51"/>
    <mergeCell ref="J42:L42"/>
    <mergeCell ref="J43:L43"/>
    <mergeCell ref="J44:L44"/>
    <mergeCell ref="J45:L45"/>
    <mergeCell ref="J46:L46"/>
    <mergeCell ref="J50:L50"/>
    <mergeCell ref="H50:I50"/>
    <mergeCell ref="H51:I51"/>
    <mergeCell ref="B42:B43"/>
    <mergeCell ref="F46:G46"/>
    <mergeCell ref="C36:E36"/>
    <mergeCell ref="J56:L56"/>
    <mergeCell ref="J36:L36"/>
    <mergeCell ref="C37:E37"/>
    <mergeCell ref="J37:L37"/>
    <mergeCell ref="C39:E39"/>
    <mergeCell ref="J21:L21"/>
    <mergeCell ref="D22:E22"/>
    <mergeCell ref="J22:L22"/>
    <mergeCell ref="D23:E23"/>
    <mergeCell ref="J23:L23"/>
    <mergeCell ref="B29:B32"/>
    <mergeCell ref="C29:C32"/>
    <mergeCell ref="D29:E29"/>
    <mergeCell ref="J29:L29"/>
    <mergeCell ref="D30:E30"/>
    <mergeCell ref="J30:L30"/>
    <mergeCell ref="D31:E31"/>
    <mergeCell ref="J31:L31"/>
    <mergeCell ref="D32:E32"/>
    <mergeCell ref="J32:L32"/>
    <mergeCell ref="J24:L24"/>
    <mergeCell ref="B25:B28"/>
    <mergeCell ref="C25:C28"/>
    <mergeCell ref="D25:E25"/>
    <mergeCell ref="J25:L25"/>
    <mergeCell ref="D26:E26"/>
    <mergeCell ref="J26:L26"/>
    <mergeCell ref="D27:E27"/>
    <mergeCell ref="J27:L27"/>
    <mergeCell ref="B63:I63"/>
    <mergeCell ref="B67:L67"/>
    <mergeCell ref="H65:I65"/>
    <mergeCell ref="J65:L65"/>
    <mergeCell ref="J66:L66"/>
    <mergeCell ref="H66:I66"/>
    <mergeCell ref="H68:I68"/>
    <mergeCell ref="B68:G68"/>
    <mergeCell ref="K68:L68"/>
    <mergeCell ref="C66:G66"/>
    <mergeCell ref="J63:L63"/>
  </mergeCells>
  <phoneticPr fontId="43" type="noConversion"/>
  <conditionalFormatting sqref="K68:L68">
    <cfRule type="containsText" dxfId="10" priority="3" operator="containsText" text="NĒ">
      <formula>NOT(ISERROR(SEARCH("NĒ",K68)))</formula>
    </cfRule>
    <cfRule type="containsText" dxfId="9" priority="4" operator="containsText" text="Nē">
      <formula>NOT(ISERROR(SEARCH("Nē",K68)))</formula>
    </cfRule>
  </conditionalFormatting>
  <dataValidations count="1">
    <dataValidation type="list" allowBlank="1" showInputMessage="1" showErrorMessage="1" sqref="C44:C46" xr:uid="{00000000-0002-0000-0100-000000000000}">
      <formula1>"Dabiskā,Mehāniskā,Infiltrācija"</formula1>
    </dataValidation>
  </dataValidations>
  <printOptions horizontalCentered="1"/>
  <pageMargins left="0.11811023622047245" right="0.11811023622047245" top="0.55118110236220474" bottom="0.35433070866141736" header="0.31496062992125984" footer="0.31496062992125984"/>
  <pageSetup paperSize="9" scale="76" orientation="portrait" horizontalDpi="1200" verticalDpi="1200" r:id="rId1"/>
  <headerFooter>
    <oddFooter>&amp;R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17B7902-01D0-41DB-9772-175D321FD5E9}">
          <x14:formula1>
            <xm:f>PV_enerģija!$A$26:$A$47</xm:f>
          </x14:formula1>
          <xm:sqref>D4:F4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N68"/>
  <sheetViews>
    <sheetView showGridLines="0" workbookViewId="0">
      <selection activeCell="J63" sqref="J63:L63"/>
    </sheetView>
  </sheetViews>
  <sheetFormatPr defaultColWidth="11.44140625" defaultRowHeight="13.8" x14ac:dyDescent="0.25"/>
  <cols>
    <col min="1" max="1" width="1.44140625" style="17" customWidth="1"/>
    <col min="2" max="2" width="5.109375" style="17" customWidth="1"/>
    <col min="3" max="3" width="18.5546875" style="17" customWidth="1"/>
    <col min="4" max="4" width="18.88671875" style="17" customWidth="1"/>
    <col min="5" max="5" width="17.33203125" style="17" customWidth="1"/>
    <col min="6" max="7" width="12.5546875" style="17" customWidth="1"/>
    <col min="8" max="8" width="12.33203125" style="17" customWidth="1"/>
    <col min="9" max="9" width="12.5546875" style="17" customWidth="1"/>
    <col min="10" max="10" width="9.44140625" style="17" customWidth="1"/>
    <col min="11" max="11" width="5.5546875" style="17" customWidth="1"/>
    <col min="12" max="12" width="7.21875" style="17" customWidth="1"/>
    <col min="13" max="16384" width="11.44140625" style="17"/>
  </cols>
  <sheetData>
    <row r="1" spans="1:12" s="18" customFormat="1" ht="30.6" customHeight="1" x14ac:dyDescent="0.55000000000000004">
      <c r="A1" s="427" t="s">
        <v>292</v>
      </c>
      <c r="B1" s="428"/>
      <c r="C1" s="428"/>
      <c r="D1" s="428"/>
      <c r="E1" s="428"/>
      <c r="F1" s="428"/>
      <c r="G1" s="428"/>
      <c r="H1" s="428"/>
      <c r="I1" s="428"/>
      <c r="J1" s="428"/>
      <c r="K1" s="428"/>
      <c r="L1" s="429"/>
    </row>
    <row r="2" spans="1:12" s="32" customFormat="1" x14ac:dyDescent="0.25">
      <c r="A2" s="471" t="s">
        <v>30</v>
      </c>
      <c r="B2" s="471"/>
      <c r="C2" s="471"/>
      <c r="D2" s="471"/>
      <c r="E2" s="471"/>
      <c r="F2" s="471"/>
      <c r="G2" s="471"/>
      <c r="H2" s="471"/>
      <c r="I2" s="471"/>
      <c r="J2" s="471"/>
      <c r="K2" s="471"/>
      <c r="L2" s="471"/>
    </row>
    <row r="3" spans="1:12" s="20" customFormat="1" ht="7.95" customHeight="1" x14ac:dyDescent="0.25">
      <c r="A3" s="19"/>
      <c r="B3" s="87"/>
      <c r="C3" s="88"/>
      <c r="D3" s="88"/>
      <c r="E3" s="88"/>
      <c r="F3" s="89"/>
      <c r="G3" s="89"/>
      <c r="H3" s="89"/>
      <c r="I3" s="90"/>
      <c r="J3" s="90"/>
      <c r="K3" s="90"/>
      <c r="L3" s="91"/>
    </row>
    <row r="4" spans="1:12" x14ac:dyDescent="0.25">
      <c r="A4" s="21"/>
      <c r="B4" s="92"/>
      <c r="C4" s="93" t="s">
        <v>0</v>
      </c>
      <c r="D4" s="500">
        <f>'2.lapa_Esošā situācija'!D4</f>
        <v>0</v>
      </c>
      <c r="E4" s="501"/>
      <c r="F4" s="502"/>
      <c r="G4" s="97"/>
      <c r="H4" s="94"/>
      <c r="I4" s="95" t="s">
        <v>205</v>
      </c>
      <c r="J4" s="24"/>
      <c r="K4" s="96" t="s">
        <v>1</v>
      </c>
      <c r="L4" s="81"/>
    </row>
    <row r="5" spans="1:12" x14ac:dyDescent="0.25">
      <c r="A5" s="21"/>
      <c r="B5" s="22"/>
      <c r="C5" s="27" t="s">
        <v>2</v>
      </c>
      <c r="D5" s="432">
        <f>'1.lapa_Patēriņš'!F6</f>
        <v>0</v>
      </c>
      <c r="E5" s="433"/>
      <c r="F5" s="434"/>
      <c r="G5" s="21"/>
      <c r="H5" s="21"/>
      <c r="I5" s="23" t="s">
        <v>204</v>
      </c>
      <c r="J5" s="24"/>
      <c r="K5" s="25" t="s">
        <v>1</v>
      </c>
      <c r="L5" s="26"/>
    </row>
    <row r="6" spans="1:12" x14ac:dyDescent="0.25">
      <c r="A6" s="28"/>
      <c r="B6" s="26"/>
      <c r="C6" s="27" t="s">
        <v>33</v>
      </c>
      <c r="D6" s="435">
        <f>'1.lapa_Patēriņš'!F7</f>
        <v>0</v>
      </c>
      <c r="E6" s="436"/>
      <c r="F6" s="437"/>
      <c r="G6" s="23"/>
      <c r="H6" s="450" t="s">
        <v>128</v>
      </c>
      <c r="I6" s="451"/>
      <c r="J6" s="29"/>
      <c r="K6" s="430" t="s">
        <v>4</v>
      </c>
      <c r="L6" s="431"/>
    </row>
    <row r="7" spans="1:12" x14ac:dyDescent="0.25">
      <c r="A7" s="28"/>
      <c r="B7" s="26"/>
      <c r="C7" s="30"/>
      <c r="D7" s="31"/>
      <c r="E7" s="438"/>
      <c r="F7" s="438"/>
      <c r="G7" s="32"/>
      <c r="H7" s="26"/>
      <c r="I7" s="23" t="s">
        <v>28</v>
      </c>
      <c r="J7" s="217">
        <f>'2.lapa_Esošā situācija'!J7</f>
        <v>0</v>
      </c>
      <c r="K7" s="33" t="s">
        <v>5</v>
      </c>
      <c r="L7" s="26"/>
    </row>
    <row r="8" spans="1:12" x14ac:dyDescent="0.25">
      <c r="A8" s="28"/>
      <c r="B8" s="26"/>
      <c r="C8" s="503"/>
      <c r="D8" s="503"/>
      <c r="E8" s="438"/>
      <c r="F8" s="438"/>
      <c r="G8" s="32"/>
      <c r="H8" s="26"/>
      <c r="I8" s="23" t="s">
        <v>131</v>
      </c>
      <c r="J8" s="217">
        <f>'2.lapa_Esošā situācija'!J8</f>
        <v>0</v>
      </c>
      <c r="K8" s="33" t="s">
        <v>130</v>
      </c>
      <c r="L8" s="26"/>
    </row>
    <row r="9" spans="1:12" x14ac:dyDescent="0.25">
      <c r="A9" s="28"/>
      <c r="B9" s="26"/>
      <c r="C9" s="475" t="s">
        <v>164</v>
      </c>
      <c r="D9" s="475"/>
      <c r="E9" s="32"/>
      <c r="F9" s="211"/>
      <c r="G9" s="211"/>
      <c r="H9" s="210"/>
      <c r="I9" s="212"/>
      <c r="J9" s="213"/>
      <c r="K9" s="214"/>
      <c r="L9" s="210"/>
    </row>
    <row r="10" spans="1:12" ht="15.6" x14ac:dyDescent="0.3">
      <c r="A10" s="82"/>
      <c r="B10" s="454" t="s">
        <v>293</v>
      </c>
      <c r="C10" s="454"/>
      <c r="D10" s="454"/>
      <c r="E10" s="454"/>
      <c r="F10" s="454"/>
      <c r="G10" s="454"/>
      <c r="H10" s="454"/>
      <c r="I10" s="454"/>
      <c r="J10" s="454"/>
      <c r="K10" s="454"/>
      <c r="L10" s="454"/>
    </row>
    <row r="11" spans="1:12" ht="24" x14ac:dyDescent="0.25">
      <c r="A11" s="82"/>
      <c r="B11" s="452" t="s">
        <v>76</v>
      </c>
      <c r="C11" s="441" t="s">
        <v>126</v>
      </c>
      <c r="D11" s="442"/>
      <c r="E11" s="443"/>
      <c r="F11" s="252" t="s">
        <v>6</v>
      </c>
      <c r="G11" s="253" t="s">
        <v>136</v>
      </c>
      <c r="H11" s="253" t="s">
        <v>7</v>
      </c>
      <c r="I11" s="252" t="s">
        <v>3</v>
      </c>
      <c r="J11" s="439" t="s">
        <v>8</v>
      </c>
      <c r="K11" s="439"/>
      <c r="L11" s="439"/>
    </row>
    <row r="12" spans="1:12" x14ac:dyDescent="0.25">
      <c r="A12" s="82"/>
      <c r="B12" s="453"/>
      <c r="C12" s="444"/>
      <c r="D12" s="445"/>
      <c r="E12" s="446"/>
      <c r="F12" s="254" t="s">
        <v>5</v>
      </c>
      <c r="G12" s="254" t="s">
        <v>9</v>
      </c>
      <c r="H12" s="254" t="s">
        <v>10</v>
      </c>
      <c r="I12" s="254" t="s">
        <v>11</v>
      </c>
      <c r="J12" s="440" t="s">
        <v>12</v>
      </c>
      <c r="K12" s="440"/>
      <c r="L12" s="440"/>
    </row>
    <row r="13" spans="1:12" x14ac:dyDescent="0.25">
      <c r="A13" s="82"/>
      <c r="B13" s="497" t="s">
        <v>300</v>
      </c>
      <c r="C13" s="406" t="s">
        <v>31</v>
      </c>
      <c r="D13" s="401" t="s">
        <v>140</v>
      </c>
      <c r="E13" s="402"/>
      <c r="F13" s="217" t="str">
        <f>IF('2.lapa_Esošā situācija'!F13="","",'2.lapa_Esošā situācija'!F13)</f>
        <v/>
      </c>
      <c r="G13" s="208"/>
      <c r="H13" s="215" t="str">
        <f t="shared" ref="H13:H20" si="0">IF(F13="","",$J$4-$J$5)</f>
        <v/>
      </c>
      <c r="I13" s="205" t="str">
        <f t="shared" ref="I13:I32" si="1">IF(F13="","",$J$6*24)</f>
        <v/>
      </c>
      <c r="J13" s="400" t="str">
        <f t="shared" ref="J13:J32" si="2">IF(F13="","",F13*G13*H13*I13/1000)</f>
        <v/>
      </c>
      <c r="K13" s="400"/>
      <c r="L13" s="400"/>
    </row>
    <row r="14" spans="1:12" x14ac:dyDescent="0.25">
      <c r="A14" s="82"/>
      <c r="B14" s="498"/>
      <c r="C14" s="407"/>
      <c r="D14" s="401" t="s">
        <v>141</v>
      </c>
      <c r="E14" s="402"/>
      <c r="F14" s="217" t="str">
        <f>IF('2.lapa_Esošā situācija'!F14="","",'2.lapa_Esošā situācija'!F14)</f>
        <v/>
      </c>
      <c r="G14" s="208"/>
      <c r="H14" s="215" t="str">
        <f t="shared" si="0"/>
        <v/>
      </c>
      <c r="I14" s="205" t="str">
        <f t="shared" si="1"/>
        <v/>
      </c>
      <c r="J14" s="400" t="str">
        <f t="shared" si="2"/>
        <v/>
      </c>
      <c r="K14" s="400"/>
      <c r="L14" s="400"/>
    </row>
    <row r="15" spans="1:12" x14ac:dyDescent="0.25">
      <c r="A15" s="82"/>
      <c r="B15" s="498"/>
      <c r="C15" s="407"/>
      <c r="D15" s="401" t="s">
        <v>142</v>
      </c>
      <c r="E15" s="402"/>
      <c r="F15" s="217" t="str">
        <f>IF('2.lapa_Esošā situācija'!F15="","",'2.lapa_Esošā situācija'!F15)</f>
        <v/>
      </c>
      <c r="G15" s="208"/>
      <c r="H15" s="215" t="str">
        <f t="shared" si="0"/>
        <v/>
      </c>
      <c r="I15" s="205" t="str">
        <f t="shared" si="1"/>
        <v/>
      </c>
      <c r="J15" s="400" t="str">
        <f t="shared" si="2"/>
        <v/>
      </c>
      <c r="K15" s="400"/>
      <c r="L15" s="400"/>
    </row>
    <row r="16" spans="1:12" x14ac:dyDescent="0.25">
      <c r="A16" s="82"/>
      <c r="B16" s="499"/>
      <c r="C16" s="408"/>
      <c r="D16" s="401" t="s">
        <v>143</v>
      </c>
      <c r="E16" s="402"/>
      <c r="F16" s="217" t="str">
        <f>IF('2.lapa_Esošā situācija'!F16="","",'2.lapa_Esošā situācija'!F16)</f>
        <v/>
      </c>
      <c r="G16" s="208"/>
      <c r="H16" s="215" t="str">
        <f t="shared" si="0"/>
        <v/>
      </c>
      <c r="I16" s="205" t="str">
        <f t="shared" si="1"/>
        <v/>
      </c>
      <c r="J16" s="400" t="str">
        <f t="shared" si="2"/>
        <v/>
      </c>
      <c r="K16" s="400"/>
      <c r="L16" s="400"/>
    </row>
    <row r="17" spans="1:12" x14ac:dyDescent="0.25">
      <c r="A17" s="82"/>
      <c r="B17" s="497" t="s">
        <v>301</v>
      </c>
      <c r="C17" s="406" t="s">
        <v>139</v>
      </c>
      <c r="D17" s="401" t="s">
        <v>140</v>
      </c>
      <c r="E17" s="402"/>
      <c r="F17" s="217" t="str">
        <f>IF('2.lapa_Esošā situācija'!F17="","",'2.lapa_Esošā situācija'!F17)</f>
        <v/>
      </c>
      <c r="G17" s="208"/>
      <c r="H17" s="215" t="str">
        <f t="shared" si="0"/>
        <v/>
      </c>
      <c r="I17" s="205" t="str">
        <f t="shared" si="1"/>
        <v/>
      </c>
      <c r="J17" s="400" t="str">
        <f t="shared" si="2"/>
        <v/>
      </c>
      <c r="K17" s="400"/>
      <c r="L17" s="400"/>
    </row>
    <row r="18" spans="1:12" x14ac:dyDescent="0.25">
      <c r="A18" s="82"/>
      <c r="B18" s="498"/>
      <c r="C18" s="407"/>
      <c r="D18" s="401" t="s">
        <v>141</v>
      </c>
      <c r="E18" s="402"/>
      <c r="F18" s="217" t="str">
        <f>IF('2.lapa_Esošā situācija'!F18="","",'2.lapa_Esošā situācija'!F18)</f>
        <v/>
      </c>
      <c r="G18" s="208"/>
      <c r="H18" s="215" t="str">
        <f t="shared" si="0"/>
        <v/>
      </c>
      <c r="I18" s="205" t="str">
        <f t="shared" si="1"/>
        <v/>
      </c>
      <c r="J18" s="400" t="str">
        <f t="shared" si="2"/>
        <v/>
      </c>
      <c r="K18" s="400"/>
      <c r="L18" s="400"/>
    </row>
    <row r="19" spans="1:12" x14ac:dyDescent="0.25">
      <c r="A19" s="82"/>
      <c r="B19" s="498"/>
      <c r="C19" s="407"/>
      <c r="D19" s="401" t="s">
        <v>142</v>
      </c>
      <c r="E19" s="402"/>
      <c r="F19" s="217" t="str">
        <f>IF('2.lapa_Esošā situācija'!F19="","",'2.lapa_Esošā situācija'!F19)</f>
        <v/>
      </c>
      <c r="G19" s="208"/>
      <c r="H19" s="215" t="str">
        <f t="shared" si="0"/>
        <v/>
      </c>
      <c r="I19" s="205" t="str">
        <f t="shared" si="1"/>
        <v/>
      </c>
      <c r="J19" s="400" t="str">
        <f t="shared" si="2"/>
        <v/>
      </c>
      <c r="K19" s="400"/>
      <c r="L19" s="400"/>
    </row>
    <row r="20" spans="1:12" x14ac:dyDescent="0.25">
      <c r="A20" s="82"/>
      <c r="B20" s="499"/>
      <c r="C20" s="408"/>
      <c r="D20" s="401" t="s">
        <v>143</v>
      </c>
      <c r="E20" s="402"/>
      <c r="F20" s="217" t="str">
        <f>IF('2.lapa_Esošā situācija'!F20="","",'2.lapa_Esošā situācija'!F20)</f>
        <v/>
      </c>
      <c r="G20" s="208"/>
      <c r="H20" s="215" t="str">
        <f t="shared" si="0"/>
        <v/>
      </c>
      <c r="I20" s="205" t="str">
        <f t="shared" si="1"/>
        <v/>
      </c>
      <c r="J20" s="400" t="str">
        <f t="shared" si="2"/>
        <v/>
      </c>
      <c r="K20" s="400"/>
      <c r="L20" s="400"/>
    </row>
    <row r="21" spans="1:12" x14ac:dyDescent="0.25">
      <c r="A21" s="82"/>
      <c r="B21" s="497" t="s">
        <v>302</v>
      </c>
      <c r="C21" s="406" t="s">
        <v>32</v>
      </c>
      <c r="D21" s="401" t="s">
        <v>140</v>
      </c>
      <c r="E21" s="402"/>
      <c r="F21" s="217" t="str">
        <f>IF('2.lapa_Esošā situācija'!F21="","",'2.lapa_Esošā situācija'!F21)</f>
        <v/>
      </c>
      <c r="G21" s="208"/>
      <c r="H21" s="276"/>
      <c r="I21" s="205" t="str">
        <f t="shared" si="1"/>
        <v/>
      </c>
      <c r="J21" s="400" t="str">
        <f t="shared" si="2"/>
        <v/>
      </c>
      <c r="K21" s="400"/>
      <c r="L21" s="400"/>
    </row>
    <row r="22" spans="1:12" x14ac:dyDescent="0.25">
      <c r="A22" s="82"/>
      <c r="B22" s="498"/>
      <c r="C22" s="407"/>
      <c r="D22" s="401" t="s">
        <v>141</v>
      </c>
      <c r="E22" s="402"/>
      <c r="F22" s="217" t="str">
        <f>IF('2.lapa_Esošā situācija'!F22="","",'2.lapa_Esošā situācija'!F22)</f>
        <v/>
      </c>
      <c r="G22" s="208"/>
      <c r="H22" s="276"/>
      <c r="I22" s="205" t="str">
        <f t="shared" si="1"/>
        <v/>
      </c>
      <c r="J22" s="400" t="str">
        <f t="shared" si="2"/>
        <v/>
      </c>
      <c r="K22" s="400"/>
      <c r="L22" s="400"/>
    </row>
    <row r="23" spans="1:12" x14ac:dyDescent="0.25">
      <c r="A23" s="82"/>
      <c r="B23" s="498"/>
      <c r="C23" s="407"/>
      <c r="D23" s="401" t="s">
        <v>142</v>
      </c>
      <c r="E23" s="402"/>
      <c r="F23" s="217" t="str">
        <f>IF('2.lapa_Esošā situācija'!F23="","",'2.lapa_Esošā situācija'!F23)</f>
        <v/>
      </c>
      <c r="G23" s="208"/>
      <c r="H23" s="276"/>
      <c r="I23" s="205" t="str">
        <f t="shared" si="1"/>
        <v/>
      </c>
      <c r="J23" s="400" t="str">
        <f t="shared" si="2"/>
        <v/>
      </c>
      <c r="K23" s="400"/>
      <c r="L23" s="400"/>
    </row>
    <row r="24" spans="1:12" x14ac:dyDescent="0.25">
      <c r="A24" s="82"/>
      <c r="B24" s="499"/>
      <c r="C24" s="408"/>
      <c r="D24" s="401" t="s">
        <v>143</v>
      </c>
      <c r="E24" s="402"/>
      <c r="F24" s="217" t="str">
        <f>IF('2.lapa_Esošā situācija'!F24="","",'2.lapa_Esošā situācija'!F24)</f>
        <v/>
      </c>
      <c r="G24" s="208"/>
      <c r="H24" s="276"/>
      <c r="I24" s="205" t="str">
        <f t="shared" si="1"/>
        <v/>
      </c>
      <c r="J24" s="400" t="str">
        <f t="shared" si="2"/>
        <v/>
      </c>
      <c r="K24" s="400"/>
      <c r="L24" s="400"/>
    </row>
    <row r="25" spans="1:12" x14ac:dyDescent="0.25">
      <c r="A25" s="82"/>
      <c r="B25" s="497" t="s">
        <v>303</v>
      </c>
      <c r="C25" s="409" t="s">
        <v>145</v>
      </c>
      <c r="D25" s="401" t="s">
        <v>140</v>
      </c>
      <c r="E25" s="402"/>
      <c r="F25" s="217" t="str">
        <f>IF('2.lapa_Esošā situācija'!F25="","",'2.lapa_Esošā situācija'!F25)</f>
        <v/>
      </c>
      <c r="G25" s="208"/>
      <c r="H25" s="215" t="str">
        <f t="shared" ref="H25:H39" si="3">IF(F25="","",$J$4-$J$5)</f>
        <v/>
      </c>
      <c r="I25" s="205" t="str">
        <f t="shared" si="1"/>
        <v/>
      </c>
      <c r="J25" s="400" t="str">
        <f t="shared" si="2"/>
        <v/>
      </c>
      <c r="K25" s="400"/>
      <c r="L25" s="400"/>
    </row>
    <row r="26" spans="1:12" x14ac:dyDescent="0.25">
      <c r="A26" s="82"/>
      <c r="B26" s="498"/>
      <c r="C26" s="410"/>
      <c r="D26" s="401" t="s">
        <v>141</v>
      </c>
      <c r="E26" s="402"/>
      <c r="F26" s="217" t="str">
        <f>IF('2.lapa_Esošā situācija'!F26="","",'2.lapa_Esošā situācija'!F26)</f>
        <v/>
      </c>
      <c r="G26" s="208"/>
      <c r="H26" s="215" t="str">
        <f t="shared" si="3"/>
        <v/>
      </c>
      <c r="I26" s="205" t="str">
        <f t="shared" si="1"/>
        <v/>
      </c>
      <c r="J26" s="400" t="str">
        <f t="shared" si="2"/>
        <v/>
      </c>
      <c r="K26" s="400"/>
      <c r="L26" s="400"/>
    </row>
    <row r="27" spans="1:12" x14ac:dyDescent="0.25">
      <c r="A27" s="82"/>
      <c r="B27" s="498"/>
      <c r="C27" s="410"/>
      <c r="D27" s="401" t="s">
        <v>142</v>
      </c>
      <c r="E27" s="402"/>
      <c r="F27" s="217" t="str">
        <f>IF('2.lapa_Esošā situācija'!F27="","",'2.lapa_Esošā situācija'!F27)</f>
        <v/>
      </c>
      <c r="G27" s="208"/>
      <c r="H27" s="215" t="str">
        <f t="shared" si="3"/>
        <v/>
      </c>
      <c r="I27" s="205" t="str">
        <f t="shared" si="1"/>
        <v/>
      </c>
      <c r="J27" s="400" t="str">
        <f t="shared" si="2"/>
        <v/>
      </c>
      <c r="K27" s="400"/>
      <c r="L27" s="400"/>
    </row>
    <row r="28" spans="1:12" x14ac:dyDescent="0.25">
      <c r="A28" s="82"/>
      <c r="B28" s="499"/>
      <c r="C28" s="411"/>
      <c r="D28" s="401" t="s">
        <v>143</v>
      </c>
      <c r="E28" s="402"/>
      <c r="F28" s="217" t="str">
        <f>IF('2.lapa_Esošā situācija'!F28="","",'2.lapa_Esošā situācija'!F28)</f>
        <v/>
      </c>
      <c r="G28" s="208"/>
      <c r="H28" s="215" t="str">
        <f t="shared" si="3"/>
        <v/>
      </c>
      <c r="I28" s="205" t="str">
        <f t="shared" si="1"/>
        <v/>
      </c>
      <c r="J28" s="400" t="str">
        <f t="shared" si="2"/>
        <v/>
      </c>
      <c r="K28" s="400"/>
      <c r="L28" s="400"/>
    </row>
    <row r="29" spans="1:12" x14ac:dyDescent="0.25">
      <c r="A29" s="82"/>
      <c r="B29" s="497" t="s">
        <v>304</v>
      </c>
      <c r="C29" s="406" t="s">
        <v>144</v>
      </c>
      <c r="D29" s="401" t="s">
        <v>140</v>
      </c>
      <c r="E29" s="402"/>
      <c r="F29" s="217" t="str">
        <f>IF('2.lapa_Esošā situācija'!F29="","",'2.lapa_Esošā situācija'!F29)</f>
        <v/>
      </c>
      <c r="G29" s="208"/>
      <c r="H29" s="215" t="str">
        <f t="shared" si="3"/>
        <v/>
      </c>
      <c r="I29" s="205" t="str">
        <f t="shared" si="1"/>
        <v/>
      </c>
      <c r="J29" s="400" t="str">
        <f t="shared" si="2"/>
        <v/>
      </c>
      <c r="K29" s="400"/>
      <c r="L29" s="400"/>
    </row>
    <row r="30" spans="1:12" x14ac:dyDescent="0.25">
      <c r="A30" s="82"/>
      <c r="B30" s="498"/>
      <c r="C30" s="407"/>
      <c r="D30" s="401" t="s">
        <v>141</v>
      </c>
      <c r="E30" s="402"/>
      <c r="F30" s="217" t="str">
        <f>IF('2.lapa_Esošā situācija'!F30="","",'2.lapa_Esošā situācija'!F30)</f>
        <v/>
      </c>
      <c r="G30" s="208"/>
      <c r="H30" s="215" t="str">
        <f t="shared" si="3"/>
        <v/>
      </c>
      <c r="I30" s="205" t="str">
        <f t="shared" si="1"/>
        <v/>
      </c>
      <c r="J30" s="400" t="str">
        <f t="shared" si="2"/>
        <v/>
      </c>
      <c r="K30" s="400"/>
      <c r="L30" s="400"/>
    </row>
    <row r="31" spans="1:12" x14ac:dyDescent="0.25">
      <c r="A31" s="82"/>
      <c r="B31" s="498"/>
      <c r="C31" s="407"/>
      <c r="D31" s="401" t="s">
        <v>142</v>
      </c>
      <c r="E31" s="402"/>
      <c r="F31" s="217" t="str">
        <f>IF('2.lapa_Esošā situācija'!F31="","",'2.lapa_Esošā situācija'!F31)</f>
        <v/>
      </c>
      <c r="G31" s="208"/>
      <c r="H31" s="215" t="str">
        <f t="shared" si="3"/>
        <v/>
      </c>
      <c r="I31" s="205" t="str">
        <f t="shared" si="1"/>
        <v/>
      </c>
      <c r="J31" s="400" t="str">
        <f t="shared" si="2"/>
        <v/>
      </c>
      <c r="K31" s="400"/>
      <c r="L31" s="400"/>
    </row>
    <row r="32" spans="1:12" x14ac:dyDescent="0.25">
      <c r="A32" s="82"/>
      <c r="B32" s="499"/>
      <c r="C32" s="408"/>
      <c r="D32" s="401" t="s">
        <v>143</v>
      </c>
      <c r="E32" s="402"/>
      <c r="F32" s="217" t="str">
        <f>IF('2.lapa_Esošā situācija'!F32="","",'2.lapa_Esošā situācija'!F32)</f>
        <v/>
      </c>
      <c r="G32" s="208"/>
      <c r="H32" s="215" t="str">
        <f t="shared" si="3"/>
        <v/>
      </c>
      <c r="I32" s="205" t="str">
        <f t="shared" si="1"/>
        <v/>
      </c>
      <c r="J32" s="400" t="str">
        <f t="shared" si="2"/>
        <v/>
      </c>
      <c r="K32" s="400"/>
      <c r="L32" s="400"/>
    </row>
    <row r="33" spans="1:14" x14ac:dyDescent="0.25">
      <c r="A33" s="82"/>
      <c r="B33" s="207"/>
      <c r="C33" s="485" t="s">
        <v>13</v>
      </c>
      <c r="D33" s="486"/>
      <c r="E33" s="487"/>
      <c r="F33" s="256" t="s">
        <v>146</v>
      </c>
      <c r="G33" s="257" t="s">
        <v>147</v>
      </c>
      <c r="H33" s="216"/>
      <c r="I33" s="86"/>
      <c r="J33" s="476"/>
      <c r="K33" s="476"/>
      <c r="L33" s="477"/>
    </row>
    <row r="34" spans="1:14" x14ac:dyDescent="0.25">
      <c r="A34" s="82"/>
      <c r="B34" s="248" t="s">
        <v>305</v>
      </c>
      <c r="C34" s="423"/>
      <c r="D34" s="424"/>
      <c r="E34" s="425"/>
      <c r="F34" s="217" t="str">
        <f>IF('2.lapa_Esošā situācija'!F34="","",'2.lapa_Esošā situācija'!F34)</f>
        <v/>
      </c>
      <c r="G34" s="208"/>
      <c r="H34" s="217" t="str">
        <f t="shared" si="3"/>
        <v/>
      </c>
      <c r="I34" s="205" t="str">
        <f>IF(F34="","",$J$6*24)</f>
        <v/>
      </c>
      <c r="J34" s="400" t="str">
        <f t="shared" ref="J34:J39" si="4">IF(F34="","",F34*G34*H34*I34/1000)</f>
        <v/>
      </c>
      <c r="K34" s="400"/>
      <c r="L34" s="400"/>
    </row>
    <row r="35" spans="1:14" x14ac:dyDescent="0.25">
      <c r="A35" s="82"/>
      <c r="B35" s="248" t="s">
        <v>306</v>
      </c>
      <c r="C35" s="401" t="str">
        <f>'2.lapa_Esošā situācija'!C35</f>
        <v>Grīda/sienas perimetrs</v>
      </c>
      <c r="D35" s="455"/>
      <c r="E35" s="402"/>
      <c r="F35" s="217" t="str">
        <f>IF('2.lapa_Esošā situācija'!F35="","",'2.lapa_Esošā situācija'!F35)</f>
        <v/>
      </c>
      <c r="G35" s="208"/>
      <c r="H35" s="217">
        <f>H21</f>
        <v>0</v>
      </c>
      <c r="I35" s="205" t="str">
        <f t="shared" ref="I35:I39" si="5">IF(F35="","",$J$6*24)</f>
        <v/>
      </c>
      <c r="J35" s="400" t="str">
        <f t="shared" si="4"/>
        <v/>
      </c>
      <c r="K35" s="400"/>
      <c r="L35" s="400"/>
    </row>
    <row r="36" spans="1:14" x14ac:dyDescent="0.25">
      <c r="A36" s="82"/>
      <c r="B36" s="248" t="s">
        <v>307</v>
      </c>
      <c r="C36" s="423"/>
      <c r="D36" s="424"/>
      <c r="E36" s="425"/>
      <c r="F36" s="217" t="str">
        <f>IF('2.lapa_Esošā situācija'!F36="","",'2.lapa_Esošā situācija'!F36)</f>
        <v/>
      </c>
      <c r="G36" s="208"/>
      <c r="H36" s="217" t="str">
        <f t="shared" si="3"/>
        <v/>
      </c>
      <c r="I36" s="205" t="str">
        <f t="shared" si="5"/>
        <v/>
      </c>
      <c r="J36" s="400" t="str">
        <f t="shared" si="4"/>
        <v/>
      </c>
      <c r="K36" s="400"/>
      <c r="L36" s="400"/>
    </row>
    <row r="37" spans="1:14" x14ac:dyDescent="0.25">
      <c r="A37" s="82"/>
      <c r="B37" s="248" t="s">
        <v>308</v>
      </c>
      <c r="C37" s="423"/>
      <c r="D37" s="424"/>
      <c r="E37" s="425"/>
      <c r="F37" s="217" t="str">
        <f>IF('2.lapa_Esošā situācija'!F37="","",'2.lapa_Esošā situācija'!F37)</f>
        <v/>
      </c>
      <c r="G37" s="208"/>
      <c r="H37" s="217" t="str">
        <f t="shared" si="3"/>
        <v/>
      </c>
      <c r="I37" s="205" t="str">
        <f t="shared" si="5"/>
        <v/>
      </c>
      <c r="J37" s="400" t="str">
        <f t="shared" si="4"/>
        <v/>
      </c>
      <c r="K37" s="400"/>
      <c r="L37" s="400"/>
    </row>
    <row r="38" spans="1:14" x14ac:dyDescent="0.25">
      <c r="A38" s="82"/>
      <c r="B38" s="248" t="s">
        <v>309</v>
      </c>
      <c r="C38" s="423"/>
      <c r="D38" s="424"/>
      <c r="E38" s="425"/>
      <c r="F38" s="217" t="str">
        <f>IF('2.lapa_Esošā situācija'!F38="","",'2.lapa_Esošā situācija'!F38)</f>
        <v/>
      </c>
      <c r="G38" s="208"/>
      <c r="H38" s="217" t="str">
        <f t="shared" si="3"/>
        <v/>
      </c>
      <c r="I38" s="205" t="str">
        <f t="shared" si="5"/>
        <v/>
      </c>
      <c r="J38" s="400" t="str">
        <f t="shared" si="4"/>
        <v/>
      </c>
      <c r="K38" s="400"/>
      <c r="L38" s="400"/>
    </row>
    <row r="39" spans="1:14" x14ac:dyDescent="0.25">
      <c r="A39" s="82"/>
      <c r="B39" s="248" t="s">
        <v>310</v>
      </c>
      <c r="C39" s="423"/>
      <c r="D39" s="424"/>
      <c r="E39" s="425"/>
      <c r="F39" s="217" t="str">
        <f>IF('2.lapa_Esošā situācija'!F39="","",'2.lapa_Esošā situācija'!F39)</f>
        <v/>
      </c>
      <c r="G39" s="208"/>
      <c r="H39" s="217" t="str">
        <f t="shared" si="3"/>
        <v/>
      </c>
      <c r="I39" s="205" t="str">
        <f t="shared" si="5"/>
        <v/>
      </c>
      <c r="J39" s="400" t="str">
        <f t="shared" si="4"/>
        <v/>
      </c>
      <c r="K39" s="400"/>
      <c r="L39" s="400"/>
    </row>
    <row r="40" spans="1:14" ht="15.6" x14ac:dyDescent="0.25">
      <c r="A40" s="473" t="s">
        <v>127</v>
      </c>
      <c r="B40" s="473"/>
      <c r="C40" s="473"/>
      <c r="D40" s="473"/>
      <c r="E40" s="473"/>
      <c r="F40" s="473"/>
      <c r="G40" s="473"/>
      <c r="H40" s="473"/>
      <c r="I40" s="473"/>
      <c r="J40" s="456">
        <f>ROUND(SUM(J13:L32,J34:L39),0)</f>
        <v>0</v>
      </c>
      <c r="K40" s="456"/>
      <c r="L40" s="456"/>
    </row>
    <row r="41" spans="1:14" ht="15.6" x14ac:dyDescent="0.25">
      <c r="A41" s="83"/>
      <c r="B41" s="99" t="s">
        <v>294</v>
      </c>
      <c r="C41" s="99"/>
      <c r="D41" s="99"/>
      <c r="E41" s="83"/>
      <c r="F41" s="82"/>
      <c r="G41" s="478"/>
      <c r="H41" s="478"/>
      <c r="I41" s="206"/>
      <c r="J41" s="105"/>
      <c r="K41" s="106"/>
      <c r="L41" s="81"/>
    </row>
    <row r="42" spans="1:14" ht="24" customHeight="1" x14ac:dyDescent="0.25">
      <c r="A42" s="83"/>
      <c r="B42" s="420" t="s">
        <v>76</v>
      </c>
      <c r="C42" s="488" t="s">
        <v>129</v>
      </c>
      <c r="D42" s="253" t="s">
        <v>132</v>
      </c>
      <c r="E42" s="253" t="s">
        <v>15</v>
      </c>
      <c r="F42" s="479" t="s">
        <v>16</v>
      </c>
      <c r="G42" s="480"/>
      <c r="H42" s="253" t="s">
        <v>7</v>
      </c>
      <c r="I42" s="253" t="s">
        <v>3</v>
      </c>
      <c r="J42" s="416" t="s">
        <v>135</v>
      </c>
      <c r="K42" s="416"/>
      <c r="L42" s="416"/>
    </row>
    <row r="43" spans="1:14" s="109" customFormat="1" ht="12.6" x14ac:dyDescent="0.2">
      <c r="A43" s="108"/>
      <c r="B43" s="420"/>
      <c r="C43" s="489"/>
      <c r="D43" s="254" t="s">
        <v>130</v>
      </c>
      <c r="E43" s="254" t="s">
        <v>153</v>
      </c>
      <c r="F43" s="481" t="s">
        <v>133</v>
      </c>
      <c r="G43" s="482"/>
      <c r="H43" s="254" t="s">
        <v>10</v>
      </c>
      <c r="I43" s="254" t="s">
        <v>11</v>
      </c>
      <c r="J43" s="417" t="s">
        <v>12</v>
      </c>
      <c r="K43" s="417"/>
      <c r="L43" s="417"/>
    </row>
    <row r="44" spans="1:14" ht="14.4" customHeight="1" x14ac:dyDescent="0.25">
      <c r="A44" s="83"/>
      <c r="B44" s="114" t="s">
        <v>311</v>
      </c>
      <c r="C44" s="112" t="s">
        <v>206</v>
      </c>
      <c r="D44" s="218">
        <f>J8</f>
        <v>0</v>
      </c>
      <c r="E44" s="184"/>
      <c r="F44" s="421"/>
      <c r="G44" s="422"/>
      <c r="H44" s="141" t="str">
        <f>IF(D44&gt;0,($J$4-$J$5)*(1-F44/100),"")</f>
        <v/>
      </c>
      <c r="I44" s="209" t="str">
        <f>IF(D44&gt;0,$J$6*24,"")</f>
        <v/>
      </c>
      <c r="J44" s="400" t="str">
        <f>IF(D44&gt;0,D44*0.336*E44*H44*I44/1000,"")</f>
        <v/>
      </c>
      <c r="K44" s="400"/>
      <c r="L44" s="400"/>
    </row>
    <row r="45" spans="1:14" x14ac:dyDescent="0.25">
      <c r="A45" s="83"/>
      <c r="B45" s="114" t="s">
        <v>312</v>
      </c>
      <c r="C45" s="112" t="s">
        <v>207</v>
      </c>
      <c r="D45" s="113">
        <f>D44</f>
        <v>0</v>
      </c>
      <c r="E45" s="184"/>
      <c r="F45" s="483"/>
      <c r="G45" s="484"/>
      <c r="H45" s="141" t="str">
        <f t="shared" ref="H45" si="6">IF(D45&gt;0,($J$4-$J$5)*(1-F45/100),"")</f>
        <v/>
      </c>
      <c r="I45" s="111"/>
      <c r="J45" s="400" t="str">
        <f>IF(D45&gt;0,D45*0.336*E45*H45*I45/1000,"")</f>
        <v/>
      </c>
      <c r="K45" s="400"/>
      <c r="L45" s="400"/>
    </row>
    <row r="46" spans="1:14" x14ac:dyDescent="0.25">
      <c r="A46" s="83"/>
      <c r="B46" s="114" t="s">
        <v>313</v>
      </c>
      <c r="C46" s="112" t="s">
        <v>208</v>
      </c>
      <c r="D46" s="288">
        <f>IF(D45="","",D45)</f>
        <v>0</v>
      </c>
      <c r="E46" s="312">
        <f>IF(J45=0,0.3,IF(J45="",0.3,0.15))</f>
        <v>0.3</v>
      </c>
      <c r="F46" s="421"/>
      <c r="G46" s="422"/>
      <c r="H46" s="141">
        <f>IF(D46="","",($J$4-$J$5)*(1-F46/100))</f>
        <v>0</v>
      </c>
      <c r="I46" s="209">
        <f>J6*24</f>
        <v>0</v>
      </c>
      <c r="J46" s="400" t="str">
        <f>IF(D46&gt;0,D46*0.336*E46*H46*I46/1000,"")</f>
        <v/>
      </c>
      <c r="K46" s="400"/>
      <c r="L46" s="400"/>
    </row>
    <row r="47" spans="1:14" ht="17.399999999999999" customHeight="1" x14ac:dyDescent="0.25">
      <c r="A47" s="472" t="s">
        <v>134</v>
      </c>
      <c r="B47" s="472"/>
      <c r="C47" s="472"/>
      <c r="D47" s="472"/>
      <c r="E47" s="472"/>
      <c r="F47" s="472"/>
      <c r="G47" s="472"/>
      <c r="H47" s="472"/>
      <c r="I47" s="472"/>
      <c r="J47" s="456">
        <f>SUM(J44:L46)</f>
        <v>0</v>
      </c>
      <c r="K47" s="456"/>
      <c r="L47" s="456"/>
      <c r="N47" s="314"/>
    </row>
    <row r="48" spans="1:14" ht="18" customHeight="1" x14ac:dyDescent="0.25">
      <c r="A48" s="98"/>
      <c r="B48" s="496" t="str">
        <f>IF(J45=0,"",IF(J45="","","Energoefektivitātes paaugstināšanas priekšlikumā jāiekļauj nosacījums par ēkas hermētiskuma testu, nodrošinot vismaz 1,5 m3/m2h pie 50Pa"))</f>
        <v/>
      </c>
      <c r="C48" s="496"/>
      <c r="D48" s="496"/>
      <c r="E48" s="496"/>
      <c r="F48" s="496"/>
      <c r="G48" s="496"/>
      <c r="H48" s="496"/>
      <c r="I48" s="496"/>
      <c r="J48" s="496"/>
      <c r="K48" s="496"/>
      <c r="L48" s="496"/>
    </row>
    <row r="49" spans="1:14" ht="15.6" x14ac:dyDescent="0.25">
      <c r="A49" s="83"/>
      <c r="B49" s="465" t="s">
        <v>295</v>
      </c>
      <c r="C49" s="465"/>
      <c r="D49" s="465"/>
      <c r="E49" s="465"/>
      <c r="F49" s="465"/>
      <c r="G49" s="465"/>
      <c r="H49" s="465"/>
      <c r="I49" s="465"/>
      <c r="J49" s="465"/>
      <c r="K49" s="465"/>
      <c r="L49" s="465"/>
    </row>
    <row r="50" spans="1:14" ht="24" x14ac:dyDescent="0.25">
      <c r="A50" s="83"/>
      <c r="B50" s="412" t="s">
        <v>76</v>
      </c>
      <c r="C50" s="413" t="s">
        <v>17</v>
      </c>
      <c r="D50" s="247" t="s">
        <v>137</v>
      </c>
      <c r="E50" s="344" t="s">
        <v>180</v>
      </c>
      <c r="F50" s="415" t="s">
        <v>18</v>
      </c>
      <c r="G50" s="415" t="s">
        <v>155</v>
      </c>
      <c r="H50" s="415" t="s">
        <v>154</v>
      </c>
      <c r="I50" s="415"/>
      <c r="J50" s="418" t="s">
        <v>148</v>
      </c>
      <c r="K50" s="418"/>
      <c r="L50" s="418"/>
    </row>
    <row r="51" spans="1:14" ht="14.4" customHeight="1" x14ac:dyDescent="0.25">
      <c r="A51" s="83"/>
      <c r="B51" s="412"/>
      <c r="C51" s="413"/>
      <c r="D51" s="255" t="s">
        <v>138</v>
      </c>
      <c r="E51" s="344"/>
      <c r="F51" s="415"/>
      <c r="G51" s="415"/>
      <c r="H51" s="419" t="s">
        <v>125</v>
      </c>
      <c r="I51" s="419"/>
      <c r="J51" s="417" t="s">
        <v>12</v>
      </c>
      <c r="K51" s="417"/>
      <c r="L51" s="417"/>
    </row>
    <row r="52" spans="1:14" x14ac:dyDescent="0.25">
      <c r="A52" s="82"/>
      <c r="B52" s="207" t="s">
        <v>314</v>
      </c>
      <c r="C52" s="119" t="s">
        <v>19</v>
      </c>
      <c r="D52" s="290">
        <f>'2.lapa_Esošā situācija'!D52</f>
        <v>0</v>
      </c>
      <c r="E52" s="414" t="s">
        <v>376</v>
      </c>
      <c r="F52" s="110"/>
      <c r="G52" s="208"/>
      <c r="H52" s="277"/>
      <c r="I52" s="278"/>
      <c r="J52" s="426">
        <f>D52*F52*G52*H52</f>
        <v>0</v>
      </c>
      <c r="K52" s="426"/>
      <c r="L52" s="426"/>
    </row>
    <row r="53" spans="1:14" x14ac:dyDescent="0.25">
      <c r="A53" s="82"/>
      <c r="B53" s="207" t="s">
        <v>315</v>
      </c>
      <c r="C53" s="119" t="s">
        <v>20</v>
      </c>
      <c r="D53" s="290">
        <f>'2.lapa_Esošā situācija'!D53</f>
        <v>0</v>
      </c>
      <c r="E53" s="414"/>
      <c r="F53" s="110"/>
      <c r="G53" s="208"/>
      <c r="H53" s="277"/>
      <c r="I53" s="278"/>
      <c r="J53" s="426">
        <f t="shared" ref="J53:J56" si="7">D53*F53*G53*H53</f>
        <v>0</v>
      </c>
      <c r="K53" s="426"/>
      <c r="L53" s="426"/>
    </row>
    <row r="54" spans="1:14" x14ac:dyDescent="0.25">
      <c r="A54" s="82"/>
      <c r="B54" s="207" t="s">
        <v>316</v>
      </c>
      <c r="C54" s="119" t="s">
        <v>21</v>
      </c>
      <c r="D54" s="290">
        <f>'2.lapa_Esošā situācija'!D54</f>
        <v>0</v>
      </c>
      <c r="E54" s="414"/>
      <c r="F54" s="110"/>
      <c r="G54" s="208"/>
      <c r="H54" s="277"/>
      <c r="I54" s="278"/>
      <c r="J54" s="426">
        <f t="shared" si="7"/>
        <v>0</v>
      </c>
      <c r="K54" s="426"/>
      <c r="L54" s="426"/>
    </row>
    <row r="55" spans="1:14" x14ac:dyDescent="0.25">
      <c r="A55" s="82"/>
      <c r="B55" s="207" t="s">
        <v>317</v>
      </c>
      <c r="C55" s="119" t="s">
        <v>22</v>
      </c>
      <c r="D55" s="290">
        <f>'2.lapa_Esošā situācija'!D55</f>
        <v>0</v>
      </c>
      <c r="E55" s="414"/>
      <c r="F55" s="110"/>
      <c r="G55" s="208"/>
      <c r="H55" s="277"/>
      <c r="I55" s="278"/>
      <c r="J55" s="426">
        <f t="shared" si="7"/>
        <v>0</v>
      </c>
      <c r="K55" s="426"/>
      <c r="L55" s="426"/>
    </row>
    <row r="56" spans="1:14" x14ac:dyDescent="0.25">
      <c r="A56" s="82"/>
      <c r="B56" s="207" t="s">
        <v>318</v>
      </c>
      <c r="C56" s="119" t="s">
        <v>23</v>
      </c>
      <c r="D56" s="290">
        <f>'2.lapa_Esošā situācija'!D56</f>
        <v>0</v>
      </c>
      <c r="E56" s="414"/>
      <c r="F56" s="120"/>
      <c r="G56" s="115"/>
      <c r="H56" s="277"/>
      <c r="I56" s="278"/>
      <c r="J56" s="504">
        <f t="shared" si="7"/>
        <v>0</v>
      </c>
      <c r="K56" s="504"/>
      <c r="L56" s="504"/>
    </row>
    <row r="57" spans="1:14" x14ac:dyDescent="0.25">
      <c r="A57" s="82"/>
      <c r="B57" s="207" t="s">
        <v>319</v>
      </c>
      <c r="C57" s="457" t="s">
        <v>24</v>
      </c>
      <c r="D57" s="458"/>
      <c r="E57" s="116"/>
      <c r="F57" s="117"/>
      <c r="G57" s="117"/>
      <c r="H57" s="117"/>
      <c r="I57" s="291"/>
      <c r="J57" s="505"/>
      <c r="K57" s="506"/>
      <c r="L57" s="507"/>
    </row>
    <row r="58" spans="1:14" ht="15.6" x14ac:dyDescent="0.25">
      <c r="A58" s="459" t="s">
        <v>149</v>
      </c>
      <c r="B58" s="459"/>
      <c r="C58" s="459"/>
      <c r="D58" s="459"/>
      <c r="E58" s="459"/>
      <c r="F58" s="459"/>
      <c r="G58" s="459"/>
      <c r="H58" s="459"/>
      <c r="I58" s="459"/>
      <c r="J58" s="490">
        <f>SUM(J52:L57)</f>
        <v>0</v>
      </c>
      <c r="K58" s="490"/>
      <c r="L58" s="490"/>
      <c r="N58" s="258"/>
    </row>
    <row r="59" spans="1:14" ht="14.4" customHeight="1" x14ac:dyDescent="0.25">
      <c r="A59" s="84"/>
      <c r="B59" s="465" t="s">
        <v>296</v>
      </c>
      <c r="C59" s="465"/>
      <c r="D59" s="465"/>
      <c r="E59" s="465"/>
      <c r="F59" s="465"/>
      <c r="G59" s="465"/>
      <c r="H59" s="465"/>
      <c r="I59" s="465"/>
      <c r="J59" s="465"/>
      <c r="K59" s="465"/>
      <c r="L59" s="465"/>
      <c r="N59" s="258"/>
    </row>
    <row r="60" spans="1:14" x14ac:dyDescent="0.25">
      <c r="A60" s="83"/>
      <c r="B60" s="415" t="s">
        <v>25</v>
      </c>
      <c r="C60" s="415"/>
      <c r="D60" s="415"/>
      <c r="E60" s="415" t="s">
        <v>209</v>
      </c>
      <c r="F60" s="415"/>
      <c r="G60" s="415"/>
      <c r="H60" s="415" t="s">
        <v>67</v>
      </c>
      <c r="I60" s="415"/>
      <c r="J60" s="466" t="s">
        <v>151</v>
      </c>
      <c r="K60" s="466"/>
      <c r="L60" s="466"/>
    </row>
    <row r="61" spans="1:14" s="109" customFormat="1" ht="12.6" x14ac:dyDescent="0.2">
      <c r="A61" s="123"/>
      <c r="B61" s="419" t="s">
        <v>26</v>
      </c>
      <c r="C61" s="419"/>
      <c r="D61" s="419"/>
      <c r="E61" s="419" t="s">
        <v>150</v>
      </c>
      <c r="F61" s="419"/>
      <c r="G61" s="419"/>
      <c r="H61" s="419" t="s">
        <v>5</v>
      </c>
      <c r="I61" s="419"/>
      <c r="J61" s="440" t="s">
        <v>12</v>
      </c>
      <c r="K61" s="440"/>
      <c r="L61" s="440"/>
    </row>
    <row r="62" spans="1:14" ht="18" customHeight="1" x14ac:dyDescent="0.25">
      <c r="A62" s="107"/>
      <c r="B62" s="463">
        <f>J6*24</f>
        <v>0</v>
      </c>
      <c r="C62" s="463"/>
      <c r="D62" s="463"/>
      <c r="E62" s="491">
        <f>'2.lapa_Esošā situācija'!E62</f>
        <v>0</v>
      </c>
      <c r="F62" s="491"/>
      <c r="G62" s="491"/>
      <c r="H62" s="462">
        <f>J7</f>
        <v>0</v>
      </c>
      <c r="I62" s="462"/>
      <c r="J62" s="492">
        <f>B62*E62*H62/1000</f>
        <v>0</v>
      </c>
      <c r="K62" s="492"/>
      <c r="L62" s="492"/>
    </row>
    <row r="63" spans="1:14" ht="17.399999999999999" x14ac:dyDescent="0.25">
      <c r="A63" s="166"/>
      <c r="B63" s="382" t="s">
        <v>297</v>
      </c>
      <c r="C63" s="383"/>
      <c r="D63" s="383"/>
      <c r="E63" s="383"/>
      <c r="F63" s="383"/>
      <c r="G63" s="383"/>
      <c r="H63" s="383"/>
      <c r="I63" s="385"/>
      <c r="J63" s="397"/>
      <c r="K63" s="398"/>
      <c r="L63" s="399"/>
    </row>
    <row r="64" spans="1:14" ht="8.4" customHeight="1" x14ac:dyDescent="0.25">
      <c r="A64" s="98"/>
      <c r="B64" s="99"/>
      <c r="C64" s="100"/>
      <c r="D64" s="100"/>
      <c r="E64" s="100"/>
      <c r="F64" s="81"/>
      <c r="G64" s="101"/>
      <c r="H64" s="101"/>
      <c r="I64" s="102" t="s">
        <v>14</v>
      </c>
      <c r="J64" s="101"/>
      <c r="K64" s="103"/>
      <c r="L64" s="102"/>
    </row>
    <row r="65" spans="1:12" x14ac:dyDescent="0.25">
      <c r="A65" s="82"/>
      <c r="B65" s="84"/>
      <c r="C65" s="84"/>
      <c r="D65" s="84"/>
      <c r="E65" s="84"/>
      <c r="F65" s="84"/>
      <c r="G65" s="84"/>
      <c r="H65" s="387" t="s">
        <v>156</v>
      </c>
      <c r="I65" s="387"/>
      <c r="J65" s="388" t="s">
        <v>12</v>
      </c>
      <c r="K65" s="388"/>
      <c r="L65" s="388"/>
    </row>
    <row r="66" spans="1:12" s="129" customFormat="1" ht="18" x14ac:dyDescent="0.35">
      <c r="A66" s="98"/>
      <c r="B66" s="251" t="s">
        <v>298</v>
      </c>
      <c r="C66" s="493" t="s">
        <v>152</v>
      </c>
      <c r="D66" s="494"/>
      <c r="E66" s="494"/>
      <c r="F66" s="494"/>
      <c r="G66" s="495"/>
      <c r="H66" s="390">
        <f>IF(J66=0,0,J66/J7)</f>
        <v>0</v>
      </c>
      <c r="I66" s="390"/>
      <c r="J66" s="389">
        <f>J40+J47-(J58+J62)*J63</f>
        <v>0</v>
      </c>
      <c r="K66" s="389"/>
      <c r="L66" s="389"/>
    </row>
    <row r="67" spans="1:12" ht="14.4" customHeight="1" x14ac:dyDescent="0.25">
      <c r="A67" s="124"/>
      <c r="B67" s="386" t="s">
        <v>157</v>
      </c>
      <c r="C67" s="386"/>
      <c r="D67" s="386"/>
      <c r="E67" s="386"/>
      <c r="F67" s="386"/>
      <c r="G67" s="386"/>
      <c r="H67" s="386"/>
      <c r="I67" s="386"/>
      <c r="J67" s="386"/>
      <c r="K67" s="386"/>
      <c r="L67" s="386"/>
    </row>
    <row r="68" spans="1:12" s="128" customFormat="1" ht="15.6" x14ac:dyDescent="0.3">
      <c r="A68" s="127"/>
      <c r="B68" s="392" t="s">
        <v>29</v>
      </c>
      <c r="C68" s="392"/>
      <c r="D68" s="392"/>
      <c r="E68" s="392"/>
      <c r="F68" s="392"/>
      <c r="G68" s="392"/>
      <c r="H68" s="391">
        <v>90</v>
      </c>
      <c r="I68" s="391"/>
      <c r="J68" s="125" t="s">
        <v>27</v>
      </c>
      <c r="K68" s="393" t="str">
        <f>IF(H66&gt;H68,"NĒ","Jā")</f>
        <v>Jā</v>
      </c>
      <c r="L68" s="393"/>
    </row>
  </sheetData>
  <mergeCells count="142">
    <mergeCell ref="B68:G68"/>
    <mergeCell ref="H68:I68"/>
    <mergeCell ref="K68:L68"/>
    <mergeCell ref="F50:F51"/>
    <mergeCell ref="G50:G51"/>
    <mergeCell ref="H50:I50"/>
    <mergeCell ref="J50:L50"/>
    <mergeCell ref="E52:E56"/>
    <mergeCell ref="C57:D57"/>
    <mergeCell ref="A58:I58"/>
    <mergeCell ref="B59:L59"/>
    <mergeCell ref="B60:D60"/>
    <mergeCell ref="E60:G60"/>
    <mergeCell ref="H60:I60"/>
    <mergeCell ref="J60:L60"/>
    <mergeCell ref="J53:L53"/>
    <mergeCell ref="J54:L54"/>
    <mergeCell ref="J55:L55"/>
    <mergeCell ref="J56:L56"/>
    <mergeCell ref="J57:L57"/>
    <mergeCell ref="J63:L63"/>
    <mergeCell ref="H66:I66"/>
    <mergeCell ref="J66:L66"/>
    <mergeCell ref="B63:I63"/>
    <mergeCell ref="C33:E33"/>
    <mergeCell ref="J33:L33"/>
    <mergeCell ref="C34:E34"/>
    <mergeCell ref="F44:G44"/>
    <mergeCell ref="J44:L44"/>
    <mergeCell ref="F45:G45"/>
    <mergeCell ref="J45:L45"/>
    <mergeCell ref="F46:G46"/>
    <mergeCell ref="J46:L46"/>
    <mergeCell ref="J34:L34"/>
    <mergeCell ref="C35:E35"/>
    <mergeCell ref="J35:L35"/>
    <mergeCell ref="C36:E36"/>
    <mergeCell ref="J36:L36"/>
    <mergeCell ref="C37:E37"/>
    <mergeCell ref="J37:L37"/>
    <mergeCell ref="C38:E38"/>
    <mergeCell ref="J38:L38"/>
    <mergeCell ref="C39:E39"/>
    <mergeCell ref="J39:L39"/>
    <mergeCell ref="A40:I40"/>
    <mergeCell ref="J40:L40"/>
    <mergeCell ref="G41:H41"/>
    <mergeCell ref="B42:B43"/>
    <mergeCell ref="B13:B16"/>
    <mergeCell ref="C13:C16"/>
    <mergeCell ref="D13:E13"/>
    <mergeCell ref="J13:L13"/>
    <mergeCell ref="D14:E14"/>
    <mergeCell ref="J14:L14"/>
    <mergeCell ref="D15:E15"/>
    <mergeCell ref="J15:L15"/>
    <mergeCell ref="D16:E16"/>
    <mergeCell ref="J16:L16"/>
    <mergeCell ref="B29:B32"/>
    <mergeCell ref="C29:C32"/>
    <mergeCell ref="D29:E29"/>
    <mergeCell ref="J29:L29"/>
    <mergeCell ref="D30:E30"/>
    <mergeCell ref="J30:L30"/>
    <mergeCell ref="D31:E31"/>
    <mergeCell ref="J31:L31"/>
    <mergeCell ref="D32:E32"/>
    <mergeCell ref="J32:L32"/>
    <mergeCell ref="A1:L1"/>
    <mergeCell ref="A2:L2"/>
    <mergeCell ref="D4:F4"/>
    <mergeCell ref="D5:F5"/>
    <mergeCell ref="D6:F6"/>
    <mergeCell ref="H6:I6"/>
    <mergeCell ref="K6:L6"/>
    <mergeCell ref="E7:F7"/>
    <mergeCell ref="B11:B12"/>
    <mergeCell ref="C11:E12"/>
    <mergeCell ref="J11:L11"/>
    <mergeCell ref="J12:L12"/>
    <mergeCell ref="E8:F8"/>
    <mergeCell ref="B10:L10"/>
    <mergeCell ref="C8:D8"/>
    <mergeCell ref="C9:D9"/>
    <mergeCell ref="B17:B20"/>
    <mergeCell ref="C17:C20"/>
    <mergeCell ref="D17:E17"/>
    <mergeCell ref="J17:L17"/>
    <mergeCell ref="D18:E18"/>
    <mergeCell ref="J18:L18"/>
    <mergeCell ref="D19:E19"/>
    <mergeCell ref="J19:L19"/>
    <mergeCell ref="D20:E20"/>
    <mergeCell ref="J20:L20"/>
    <mergeCell ref="B21:B24"/>
    <mergeCell ref="C21:C24"/>
    <mergeCell ref="D21:E21"/>
    <mergeCell ref="J21:L21"/>
    <mergeCell ref="D22:E22"/>
    <mergeCell ref="J22:L22"/>
    <mergeCell ref="D23:E23"/>
    <mergeCell ref="J23:L23"/>
    <mergeCell ref="D24:E24"/>
    <mergeCell ref="J24:L24"/>
    <mergeCell ref="B25:B28"/>
    <mergeCell ref="C25:C28"/>
    <mergeCell ref="D25:E25"/>
    <mergeCell ref="J25:L25"/>
    <mergeCell ref="D26:E26"/>
    <mergeCell ref="J26:L26"/>
    <mergeCell ref="D27:E27"/>
    <mergeCell ref="J27:L27"/>
    <mergeCell ref="D28:E28"/>
    <mergeCell ref="J28:L28"/>
    <mergeCell ref="C42:C43"/>
    <mergeCell ref="F42:G42"/>
    <mergeCell ref="J42:L42"/>
    <mergeCell ref="F43:G43"/>
    <mergeCell ref="J43:L43"/>
    <mergeCell ref="H51:I51"/>
    <mergeCell ref="J51:L51"/>
    <mergeCell ref="J52:L52"/>
    <mergeCell ref="J47:L47"/>
    <mergeCell ref="A47:I47"/>
    <mergeCell ref="B49:L49"/>
    <mergeCell ref="B50:B51"/>
    <mergeCell ref="C50:C51"/>
    <mergeCell ref="E50:E51"/>
    <mergeCell ref="B48:L48"/>
    <mergeCell ref="H65:I65"/>
    <mergeCell ref="J65:L65"/>
    <mergeCell ref="B67:L67"/>
    <mergeCell ref="J58:L58"/>
    <mergeCell ref="B61:D61"/>
    <mergeCell ref="E61:G61"/>
    <mergeCell ref="H61:I61"/>
    <mergeCell ref="J61:L61"/>
    <mergeCell ref="B62:D62"/>
    <mergeCell ref="E62:G62"/>
    <mergeCell ref="H62:I62"/>
    <mergeCell ref="J62:L62"/>
    <mergeCell ref="C66:G66"/>
  </mergeCells>
  <conditionalFormatting sqref="K68:L68">
    <cfRule type="containsText" dxfId="8" priority="1" operator="containsText" text="NĒ">
      <formula>NOT(ISERROR(SEARCH("NĒ",K68)))</formula>
    </cfRule>
    <cfRule type="containsText" dxfId="7" priority="2" operator="containsText" text="Nē">
      <formula>NOT(ISERROR(SEARCH("Nē",K68)))</formula>
    </cfRule>
  </conditionalFormatting>
  <dataValidations count="1">
    <dataValidation type="decimal" allowBlank="1" showInputMessage="1" showErrorMessage="1" sqref="E45" xr:uid="{039B2D57-3695-46B6-B37A-576A048F9ABF}">
      <formula1>0.25</formula1>
      <formula2>1.5</formula2>
    </dataValidation>
  </dataValidations>
  <printOptions horizontalCentered="1"/>
  <pageMargins left="0.11811023622047245" right="0.11811023622047245" top="0.55118110236220474" bottom="0.35433070866141736" header="0.31496062992125984" footer="0.31496062992125984"/>
  <pageSetup paperSize="9" scale="76" orientation="portrait" horizontalDpi="1200" verticalDpi="1200"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624DF-43A4-4942-8A7C-56A44D54697D}">
  <sheetPr>
    <tabColor theme="2" tint="-9.9978637043366805E-2"/>
    <pageSetUpPr fitToPage="1"/>
  </sheetPr>
  <dimension ref="A1:Q27"/>
  <sheetViews>
    <sheetView workbookViewId="0">
      <selection activeCell="J32" sqref="J32"/>
    </sheetView>
  </sheetViews>
  <sheetFormatPr defaultRowHeight="13.8" x14ac:dyDescent="0.25"/>
  <cols>
    <col min="1" max="1" width="6.33203125" style="17" bestFit="1" customWidth="1"/>
    <col min="2" max="2" width="31.77734375" style="17" bestFit="1" customWidth="1"/>
    <col min="3" max="14" width="7.21875" style="17" customWidth="1"/>
    <col min="15" max="15" width="9.21875" style="17" customWidth="1"/>
    <col min="16" max="16" width="7.44140625" style="17" bestFit="1" customWidth="1"/>
    <col min="17" max="16384" width="8.88671875" style="17"/>
  </cols>
  <sheetData>
    <row r="1" spans="1:17" ht="39.6" customHeight="1" x14ac:dyDescent="0.25">
      <c r="A1" s="508" t="s">
        <v>364</v>
      </c>
      <c r="B1" s="509"/>
      <c r="C1" s="509"/>
      <c r="D1" s="509"/>
      <c r="E1" s="509"/>
      <c r="F1" s="509"/>
      <c r="G1" s="509"/>
      <c r="H1" s="509"/>
      <c r="I1" s="509"/>
      <c r="J1" s="509"/>
      <c r="K1" s="509"/>
      <c r="L1" s="509"/>
      <c r="M1" s="509"/>
      <c r="N1" s="509"/>
      <c r="O1" s="509"/>
      <c r="P1" s="510"/>
    </row>
    <row r="2" spans="1:17" ht="27.6" customHeight="1" x14ac:dyDescent="0.25">
      <c r="B2" s="514" t="s">
        <v>278</v>
      </c>
      <c r="C2" s="514"/>
      <c r="D2" s="514"/>
      <c r="E2" s="514"/>
      <c r="F2" s="514"/>
      <c r="G2" s="514"/>
      <c r="H2" s="514"/>
      <c r="I2" s="514"/>
      <c r="J2" s="514"/>
      <c r="K2" s="514"/>
      <c r="L2" s="514"/>
      <c r="M2" s="514"/>
      <c r="N2" s="514"/>
      <c r="O2" s="514"/>
      <c r="P2" s="514"/>
    </row>
    <row r="3" spans="1:17" ht="15.6" x14ac:dyDescent="0.3">
      <c r="A3" s="315" t="s">
        <v>299</v>
      </c>
      <c r="B3" s="511" t="s">
        <v>353</v>
      </c>
      <c r="C3" s="511"/>
      <c r="D3" s="511"/>
      <c r="E3" s="511"/>
      <c r="F3" s="511"/>
      <c r="G3" s="511"/>
      <c r="H3" s="511"/>
      <c r="I3" s="511"/>
      <c r="J3" s="511"/>
      <c r="K3" s="511"/>
      <c r="L3" s="511"/>
      <c r="M3" s="511"/>
      <c r="N3" s="511"/>
      <c r="O3" s="511"/>
      <c r="P3" s="511"/>
      <c r="Q3" s="83"/>
    </row>
    <row r="4" spans="1:17" ht="15.6" x14ac:dyDescent="0.25">
      <c r="A4" s="275" t="s">
        <v>76</v>
      </c>
      <c r="B4" s="271" t="s">
        <v>352</v>
      </c>
      <c r="C4" s="645" t="s">
        <v>250</v>
      </c>
      <c r="D4" s="264" t="s">
        <v>251</v>
      </c>
      <c r="E4" s="264" t="s">
        <v>252</v>
      </c>
      <c r="F4" s="264" t="s">
        <v>253</v>
      </c>
      <c r="G4" s="264" t="s">
        <v>254</v>
      </c>
      <c r="H4" s="264" t="s">
        <v>255</v>
      </c>
      <c r="I4" s="264" t="s">
        <v>256</v>
      </c>
      <c r="J4" s="264" t="s">
        <v>257</v>
      </c>
      <c r="K4" s="264" t="s">
        <v>258</v>
      </c>
      <c r="L4" s="264" t="s">
        <v>259</v>
      </c>
      <c r="M4" s="264" t="s">
        <v>260</v>
      </c>
      <c r="N4" s="271" t="s">
        <v>261</v>
      </c>
      <c r="O4" s="644" t="s">
        <v>211</v>
      </c>
      <c r="P4" s="513"/>
    </row>
    <row r="5" spans="1:17" ht="15.6" x14ac:dyDescent="0.35">
      <c r="A5" s="139" t="s">
        <v>341</v>
      </c>
      <c r="B5" s="259" t="s">
        <v>265</v>
      </c>
      <c r="C5" s="643"/>
      <c r="D5" s="643"/>
      <c r="E5" s="643"/>
      <c r="F5" s="643"/>
      <c r="G5" s="643"/>
      <c r="H5" s="643"/>
      <c r="I5" s="643"/>
      <c r="J5" s="643"/>
      <c r="K5" s="643"/>
      <c r="L5" s="643"/>
      <c r="M5" s="643"/>
      <c r="N5" s="643"/>
      <c r="O5" s="641" t="str">
        <f>IFERROR(AVERAGE(C5:N5),"")</f>
        <v/>
      </c>
      <c r="P5" s="265" t="s">
        <v>1</v>
      </c>
    </row>
    <row r="6" spans="1:17" ht="15.6" x14ac:dyDescent="0.25">
      <c r="A6" s="272" t="s">
        <v>342</v>
      </c>
      <c r="B6" s="260" t="s">
        <v>277</v>
      </c>
      <c r="C6" s="643"/>
      <c r="D6" s="643"/>
      <c r="E6" s="643"/>
      <c r="F6" s="643"/>
      <c r="G6" s="643"/>
      <c r="H6" s="643"/>
      <c r="I6" s="643"/>
      <c r="J6" s="643"/>
      <c r="K6" s="643"/>
      <c r="L6" s="643"/>
      <c r="M6" s="643"/>
      <c r="N6" s="643"/>
      <c r="O6" s="642">
        <f>SUM(C6:N6)</f>
        <v>0</v>
      </c>
      <c r="P6" s="266" t="s">
        <v>266</v>
      </c>
    </row>
    <row r="7" spans="1:17" ht="15.6" x14ac:dyDescent="0.35">
      <c r="A7" s="273" t="s">
        <v>343</v>
      </c>
      <c r="B7" s="261" t="s">
        <v>267</v>
      </c>
      <c r="C7" s="627"/>
      <c r="D7" s="627"/>
      <c r="E7" s="627"/>
      <c r="F7" s="627"/>
      <c r="G7" s="627"/>
      <c r="H7" s="627"/>
      <c r="I7" s="627"/>
      <c r="J7" s="627"/>
      <c r="K7" s="627"/>
      <c r="L7" s="627"/>
      <c r="M7" s="627"/>
      <c r="N7" s="627"/>
      <c r="O7" s="626">
        <f t="shared" ref="O7" si="0">SUM(C7:N7)</f>
        <v>0</v>
      </c>
      <c r="P7" s="267" t="s">
        <v>262</v>
      </c>
    </row>
    <row r="8" spans="1:17" ht="15.6" x14ac:dyDescent="0.35">
      <c r="A8" s="273" t="s">
        <v>344</v>
      </c>
      <c r="B8" s="261" t="s">
        <v>268</v>
      </c>
      <c r="C8" s="627"/>
      <c r="D8" s="627"/>
      <c r="E8" s="627"/>
      <c r="F8" s="627"/>
      <c r="G8" s="627"/>
      <c r="H8" s="627"/>
      <c r="I8" s="627"/>
      <c r="J8" s="627"/>
      <c r="K8" s="627"/>
      <c r="L8" s="627"/>
      <c r="M8" s="627"/>
      <c r="N8" s="627"/>
      <c r="O8" s="626">
        <f t="shared" ref="O8" si="1">SUM(C8:N8)</f>
        <v>0</v>
      </c>
      <c r="P8" s="267" t="s">
        <v>262</v>
      </c>
    </row>
    <row r="9" spans="1:17" ht="15.6" x14ac:dyDescent="0.35">
      <c r="A9" s="273" t="s">
        <v>345</v>
      </c>
      <c r="B9" s="261" t="s">
        <v>269</v>
      </c>
      <c r="C9" s="249">
        <f>C7+C8</f>
        <v>0</v>
      </c>
      <c r="D9" s="268">
        <f t="shared" ref="D9:N9" si="2">D7+D8</f>
        <v>0</v>
      </c>
      <c r="E9" s="268">
        <f t="shared" si="2"/>
        <v>0</v>
      </c>
      <c r="F9" s="268">
        <f t="shared" si="2"/>
        <v>0</v>
      </c>
      <c r="G9" s="268">
        <f t="shared" si="2"/>
        <v>0</v>
      </c>
      <c r="H9" s="268">
        <f t="shared" si="2"/>
        <v>0</v>
      </c>
      <c r="I9" s="268">
        <f t="shared" si="2"/>
        <v>0</v>
      </c>
      <c r="J9" s="268">
        <f t="shared" si="2"/>
        <v>0</v>
      </c>
      <c r="K9" s="268">
        <f t="shared" si="2"/>
        <v>0</v>
      </c>
      <c r="L9" s="268">
        <f t="shared" si="2"/>
        <v>0</v>
      </c>
      <c r="M9" s="268">
        <f t="shared" si="2"/>
        <v>0</v>
      </c>
      <c r="N9" s="646">
        <f t="shared" si="2"/>
        <v>0</v>
      </c>
      <c r="O9" s="626">
        <f t="shared" ref="O9" si="3">SUM(C9:N9)</f>
        <v>0</v>
      </c>
      <c r="P9" s="267" t="s">
        <v>262</v>
      </c>
    </row>
    <row r="10" spans="1:17" ht="15.6" x14ac:dyDescent="0.35">
      <c r="A10" s="274" t="s">
        <v>346</v>
      </c>
      <c r="B10" s="262" t="s">
        <v>270</v>
      </c>
      <c r="C10" s="627"/>
      <c r="D10" s="627"/>
      <c r="E10" s="627"/>
      <c r="F10" s="627"/>
      <c r="G10" s="627"/>
      <c r="H10" s="627"/>
      <c r="I10" s="627"/>
      <c r="J10" s="627"/>
      <c r="K10" s="627"/>
      <c r="L10" s="627"/>
      <c r="M10" s="627"/>
      <c r="N10" s="627"/>
      <c r="O10" s="628">
        <f>SUM(C10:N10)</f>
        <v>0</v>
      </c>
      <c r="P10" s="269" t="s">
        <v>262</v>
      </c>
    </row>
    <row r="11" spans="1:17" ht="15.6" x14ac:dyDescent="0.35">
      <c r="A11" s="273" t="s">
        <v>347</v>
      </c>
      <c r="B11" s="261" t="s">
        <v>271</v>
      </c>
      <c r="C11" s="627"/>
      <c r="D11" s="627"/>
      <c r="E11" s="627"/>
      <c r="F11" s="627"/>
      <c r="G11" s="627"/>
      <c r="H11" s="627"/>
      <c r="I11" s="627"/>
      <c r="J11" s="627"/>
      <c r="K11" s="627"/>
      <c r="L11" s="627"/>
      <c r="M11" s="627"/>
      <c r="N11" s="627"/>
      <c r="O11" s="626">
        <f>SUM(C11:N11)</f>
        <v>0</v>
      </c>
      <c r="P11" s="267" t="s">
        <v>262</v>
      </c>
    </row>
    <row r="12" spans="1:17" ht="15.6" x14ac:dyDescent="0.35">
      <c r="A12" s="273" t="s">
        <v>348</v>
      </c>
      <c r="B12" s="261" t="s">
        <v>272</v>
      </c>
      <c r="C12" s="249">
        <f>C10+C11</f>
        <v>0</v>
      </c>
      <c r="D12" s="268">
        <f t="shared" ref="D12:N12" si="4">D10+D11</f>
        <v>0</v>
      </c>
      <c r="E12" s="268">
        <f t="shared" si="4"/>
        <v>0</v>
      </c>
      <c r="F12" s="268">
        <f t="shared" si="4"/>
        <v>0</v>
      </c>
      <c r="G12" s="268">
        <f t="shared" si="4"/>
        <v>0</v>
      </c>
      <c r="H12" s="268">
        <f t="shared" si="4"/>
        <v>0</v>
      </c>
      <c r="I12" s="268">
        <f t="shared" si="4"/>
        <v>0</v>
      </c>
      <c r="J12" s="268">
        <f t="shared" si="4"/>
        <v>0</v>
      </c>
      <c r="K12" s="268">
        <f t="shared" si="4"/>
        <v>0</v>
      </c>
      <c r="L12" s="268">
        <f t="shared" si="4"/>
        <v>0</v>
      </c>
      <c r="M12" s="268">
        <f t="shared" si="4"/>
        <v>0</v>
      </c>
      <c r="N12" s="646">
        <f t="shared" si="4"/>
        <v>0</v>
      </c>
      <c r="O12" s="626">
        <f>SUM(C12:N12)</f>
        <v>0</v>
      </c>
      <c r="P12" s="267" t="s">
        <v>262</v>
      </c>
    </row>
    <row r="13" spans="1:17" x14ac:dyDescent="0.25">
      <c r="A13" s="272" t="s">
        <v>349</v>
      </c>
      <c r="B13" s="263" t="s">
        <v>273</v>
      </c>
      <c r="C13" s="630"/>
      <c r="D13" s="630"/>
      <c r="E13" s="630"/>
      <c r="F13" s="630"/>
      <c r="G13" s="630"/>
      <c r="H13" s="630"/>
      <c r="I13" s="630"/>
      <c r="J13" s="630"/>
      <c r="K13" s="630"/>
      <c r="L13" s="630"/>
      <c r="M13" s="630"/>
      <c r="N13" s="630"/>
      <c r="O13" s="629" t="str">
        <f>IFERROR(AVERAGE(C13:N13),"")</f>
        <v/>
      </c>
      <c r="P13" s="266"/>
    </row>
    <row r="14" spans="1:17" ht="15.6" x14ac:dyDescent="0.35">
      <c r="A14" s="139" t="s">
        <v>350</v>
      </c>
      <c r="B14" s="319" t="s">
        <v>274</v>
      </c>
      <c r="C14" s="647">
        <f>C9-C12*C13</f>
        <v>0</v>
      </c>
      <c r="D14" s="317">
        <f t="shared" ref="D14:N14" si="5">D9-D12*D13</f>
        <v>0</v>
      </c>
      <c r="E14" s="317">
        <f t="shared" si="5"/>
        <v>0</v>
      </c>
      <c r="F14" s="317">
        <f t="shared" si="5"/>
        <v>0</v>
      </c>
      <c r="G14" s="317">
        <f t="shared" si="5"/>
        <v>0</v>
      </c>
      <c r="H14" s="317">
        <f t="shared" si="5"/>
        <v>0</v>
      </c>
      <c r="I14" s="317">
        <f t="shared" si="5"/>
        <v>0</v>
      </c>
      <c r="J14" s="317">
        <f t="shared" si="5"/>
        <v>0</v>
      </c>
      <c r="K14" s="317">
        <f t="shared" si="5"/>
        <v>0</v>
      </c>
      <c r="L14" s="317">
        <f t="shared" si="5"/>
        <v>0</v>
      </c>
      <c r="M14" s="317">
        <f t="shared" si="5"/>
        <v>0</v>
      </c>
      <c r="N14" s="648">
        <f t="shared" si="5"/>
        <v>0</v>
      </c>
      <c r="O14" s="635">
        <f>SUM(C14:N14)</f>
        <v>0</v>
      </c>
      <c r="P14" s="319" t="s">
        <v>262</v>
      </c>
    </row>
    <row r="15" spans="1:17" x14ac:dyDescent="0.25">
      <c r="A15" s="272" t="s">
        <v>351</v>
      </c>
      <c r="B15" s="316" t="s">
        <v>264</v>
      </c>
      <c r="C15" s="649" t="str">
        <f>IFERROR(C14/'2.lapa_Esošā situācija'!$J$7,"")</f>
        <v/>
      </c>
      <c r="D15" s="318" t="str">
        <f>IFERROR(D14/'2.lapa_Esošā situācija'!$J$7,"")</f>
        <v/>
      </c>
      <c r="E15" s="318" t="str">
        <f>IFERROR(E14/'2.lapa_Esošā situācija'!$J$7,"")</f>
        <v/>
      </c>
      <c r="F15" s="318" t="str">
        <f>IFERROR(F14/'2.lapa_Esošā situācija'!$J$7,"")</f>
        <v/>
      </c>
      <c r="G15" s="318" t="str">
        <f>IFERROR(G14/'2.lapa_Esošā situācija'!$J$7,"")</f>
        <v/>
      </c>
      <c r="H15" s="318" t="str">
        <f>IFERROR(H14/'2.lapa_Esošā situācija'!$J$7,"")</f>
        <v/>
      </c>
      <c r="I15" s="318" t="str">
        <f>IFERROR(I14/'2.lapa_Esošā situācija'!$J$7,"")</f>
        <v/>
      </c>
      <c r="J15" s="318" t="str">
        <f>IFERROR(J14/'2.lapa_Esošā situācija'!$J$7,"")</f>
        <v/>
      </c>
      <c r="K15" s="318" t="str">
        <f>IFERROR(K14/'2.lapa_Esošā situācija'!$J$7,"")</f>
        <v/>
      </c>
      <c r="L15" s="318" t="str">
        <f>IFERROR(L14/'2.lapa_Esošā situācija'!$J$7,"")</f>
        <v/>
      </c>
      <c r="M15" s="318" t="str">
        <f>IFERROR(M14/'2.lapa_Esošā situācija'!$J$7,"")</f>
        <v/>
      </c>
      <c r="N15" s="650" t="str">
        <f>IFERROR(N14/'2.lapa_Esošā situācija'!$J$7,"")</f>
        <v/>
      </c>
      <c r="O15" s="636">
        <f>SUM(C15:N15)</f>
        <v>0</v>
      </c>
      <c r="P15" s="316" t="s">
        <v>263</v>
      </c>
    </row>
    <row r="16" spans="1:17" ht="46.8" customHeight="1" x14ac:dyDescent="0.25"/>
    <row r="17" spans="1:17" ht="15.6" x14ac:dyDescent="0.3">
      <c r="A17" s="315" t="s">
        <v>340</v>
      </c>
      <c r="B17" s="511" t="s">
        <v>354</v>
      </c>
      <c r="C17" s="511"/>
      <c r="D17" s="511"/>
      <c r="E17" s="511"/>
      <c r="F17" s="511"/>
      <c r="G17" s="511"/>
      <c r="H17" s="511"/>
      <c r="I17" s="511"/>
      <c r="J17" s="511"/>
      <c r="K17" s="511"/>
      <c r="L17" s="511"/>
      <c r="M17" s="511"/>
      <c r="N17" s="511"/>
      <c r="O17" s="511"/>
      <c r="P17" s="511"/>
      <c r="Q17" s="83"/>
    </row>
    <row r="18" spans="1:17" ht="15.6" x14ac:dyDescent="0.25">
      <c r="A18" s="275" t="s">
        <v>76</v>
      </c>
      <c r="B18" s="271" t="s">
        <v>352</v>
      </c>
      <c r="C18" s="275" t="s">
        <v>250</v>
      </c>
      <c r="D18" s="275" t="s">
        <v>251</v>
      </c>
      <c r="E18" s="275" t="s">
        <v>252</v>
      </c>
      <c r="F18" s="275" t="s">
        <v>253</v>
      </c>
      <c r="G18" s="275" t="s">
        <v>254</v>
      </c>
      <c r="H18" s="275" t="s">
        <v>255</v>
      </c>
      <c r="I18" s="275" t="s">
        <v>256</v>
      </c>
      <c r="J18" s="275" t="s">
        <v>257</v>
      </c>
      <c r="K18" s="275" t="s">
        <v>258</v>
      </c>
      <c r="L18" s="275" t="s">
        <v>259</v>
      </c>
      <c r="M18" s="275" t="s">
        <v>260</v>
      </c>
      <c r="N18" s="275" t="s">
        <v>261</v>
      </c>
      <c r="O18" s="631" t="s">
        <v>211</v>
      </c>
      <c r="P18" s="512"/>
    </row>
    <row r="19" spans="1:17" ht="15.6" x14ac:dyDescent="0.35">
      <c r="A19" s="273" t="s">
        <v>355</v>
      </c>
      <c r="B19" s="652" t="s">
        <v>267</v>
      </c>
      <c r="C19" s="627"/>
      <c r="D19" s="627"/>
      <c r="E19" s="627"/>
      <c r="F19" s="627"/>
      <c r="G19" s="627"/>
      <c r="H19" s="627"/>
      <c r="I19" s="627"/>
      <c r="J19" s="627"/>
      <c r="K19" s="627"/>
      <c r="L19" s="627"/>
      <c r="M19" s="627"/>
      <c r="N19" s="627"/>
      <c r="O19" s="626">
        <f t="shared" ref="O19" si="6">SUM(C19:N19)</f>
        <v>0</v>
      </c>
      <c r="P19" s="267" t="s">
        <v>262</v>
      </c>
    </row>
    <row r="20" spans="1:17" ht="15.6" x14ac:dyDescent="0.35">
      <c r="A20" s="273" t="s">
        <v>356</v>
      </c>
      <c r="B20" s="652" t="s">
        <v>268</v>
      </c>
      <c r="C20" s="627"/>
      <c r="D20" s="627"/>
      <c r="E20" s="627"/>
      <c r="F20" s="627"/>
      <c r="G20" s="627"/>
      <c r="H20" s="627"/>
      <c r="I20" s="627"/>
      <c r="J20" s="627"/>
      <c r="K20" s="627"/>
      <c r="L20" s="627"/>
      <c r="M20" s="627"/>
      <c r="N20" s="627"/>
      <c r="O20" s="626">
        <f t="shared" ref="O20" si="7">SUM(C20:N20)</f>
        <v>0</v>
      </c>
      <c r="P20" s="267" t="s">
        <v>262</v>
      </c>
    </row>
    <row r="21" spans="1:17" ht="15.6" x14ac:dyDescent="0.35">
      <c r="A21" s="273" t="s">
        <v>357</v>
      </c>
      <c r="B21" s="652" t="s">
        <v>269</v>
      </c>
      <c r="C21" s="632">
        <f>C19+C20</f>
        <v>0</v>
      </c>
      <c r="D21" s="633">
        <f t="shared" ref="D21:N21" si="8">D19+D20</f>
        <v>0</v>
      </c>
      <c r="E21" s="633">
        <f t="shared" si="8"/>
        <v>0</v>
      </c>
      <c r="F21" s="633">
        <f t="shared" si="8"/>
        <v>0</v>
      </c>
      <c r="G21" s="633">
        <f t="shared" si="8"/>
        <v>0</v>
      </c>
      <c r="H21" s="633">
        <f t="shared" si="8"/>
        <v>0</v>
      </c>
      <c r="I21" s="633">
        <f t="shared" si="8"/>
        <v>0</v>
      </c>
      <c r="J21" s="633">
        <f t="shared" si="8"/>
        <v>0</v>
      </c>
      <c r="K21" s="633">
        <f t="shared" si="8"/>
        <v>0</v>
      </c>
      <c r="L21" s="633">
        <f t="shared" si="8"/>
        <v>0</v>
      </c>
      <c r="M21" s="633">
        <f t="shared" si="8"/>
        <v>0</v>
      </c>
      <c r="N21" s="634">
        <f t="shared" si="8"/>
        <v>0</v>
      </c>
      <c r="O21" s="626">
        <f t="shared" ref="O21" si="9">SUM(C21:N21)</f>
        <v>0</v>
      </c>
      <c r="P21" s="267" t="s">
        <v>262</v>
      </c>
    </row>
    <row r="22" spans="1:17" ht="15.6" x14ac:dyDescent="0.35">
      <c r="A22" s="274" t="s">
        <v>358</v>
      </c>
      <c r="B22" s="653" t="s">
        <v>270</v>
      </c>
      <c r="C22" s="627"/>
      <c r="D22" s="627"/>
      <c r="E22" s="627"/>
      <c r="F22" s="627"/>
      <c r="G22" s="627"/>
      <c r="H22" s="627"/>
      <c r="I22" s="627"/>
      <c r="J22" s="627"/>
      <c r="K22" s="627"/>
      <c r="L22" s="627"/>
      <c r="M22" s="627"/>
      <c r="N22" s="627"/>
      <c r="O22" s="628">
        <f>SUM(C22:N22)</f>
        <v>0</v>
      </c>
      <c r="P22" s="269" t="s">
        <v>262</v>
      </c>
    </row>
    <row r="23" spans="1:17" ht="15.6" x14ac:dyDescent="0.35">
      <c r="A23" s="273" t="s">
        <v>359</v>
      </c>
      <c r="B23" s="652" t="s">
        <v>271</v>
      </c>
      <c r="C23" s="627"/>
      <c r="D23" s="627"/>
      <c r="E23" s="627"/>
      <c r="F23" s="627"/>
      <c r="G23" s="627"/>
      <c r="H23" s="627"/>
      <c r="I23" s="627"/>
      <c r="J23" s="627"/>
      <c r="K23" s="627"/>
      <c r="L23" s="627"/>
      <c r="M23" s="627"/>
      <c r="N23" s="627"/>
      <c r="O23" s="626">
        <f>SUM(C23:N23)</f>
        <v>0</v>
      </c>
      <c r="P23" s="267" t="s">
        <v>262</v>
      </c>
    </row>
    <row r="24" spans="1:17" ht="15.6" x14ac:dyDescent="0.35">
      <c r="A24" s="273" t="s">
        <v>360</v>
      </c>
      <c r="B24" s="652" t="s">
        <v>272</v>
      </c>
      <c r="C24" s="632">
        <f>C22+C23</f>
        <v>0</v>
      </c>
      <c r="D24" s="633">
        <f t="shared" ref="D24:N24" si="10">D22+D23</f>
        <v>0</v>
      </c>
      <c r="E24" s="633">
        <f t="shared" si="10"/>
        <v>0</v>
      </c>
      <c r="F24" s="633">
        <f t="shared" si="10"/>
        <v>0</v>
      </c>
      <c r="G24" s="633">
        <f t="shared" si="10"/>
        <v>0</v>
      </c>
      <c r="H24" s="633">
        <f t="shared" si="10"/>
        <v>0</v>
      </c>
      <c r="I24" s="633">
        <f t="shared" si="10"/>
        <v>0</v>
      </c>
      <c r="J24" s="633">
        <f t="shared" si="10"/>
        <v>0</v>
      </c>
      <c r="K24" s="633">
        <f t="shared" si="10"/>
        <v>0</v>
      </c>
      <c r="L24" s="633">
        <f t="shared" si="10"/>
        <v>0</v>
      </c>
      <c r="M24" s="633">
        <f t="shared" si="10"/>
        <v>0</v>
      </c>
      <c r="N24" s="634">
        <f t="shared" si="10"/>
        <v>0</v>
      </c>
      <c r="O24" s="626">
        <f>SUM(C24:N24)</f>
        <v>0</v>
      </c>
      <c r="P24" s="267" t="s">
        <v>262</v>
      </c>
    </row>
    <row r="25" spans="1:17" x14ac:dyDescent="0.25">
      <c r="A25" s="272" t="s">
        <v>361</v>
      </c>
      <c r="B25" s="654" t="s">
        <v>273</v>
      </c>
      <c r="C25" s="630"/>
      <c r="D25" s="630"/>
      <c r="E25" s="630"/>
      <c r="F25" s="630"/>
      <c r="G25" s="630"/>
      <c r="H25" s="630"/>
      <c r="I25" s="630"/>
      <c r="J25" s="630"/>
      <c r="K25" s="630"/>
      <c r="L25" s="630"/>
      <c r="M25" s="630"/>
      <c r="N25" s="630"/>
      <c r="O25" s="629" t="str">
        <f>IFERROR(AVERAGE(C25:N25),"")</f>
        <v/>
      </c>
      <c r="P25" s="266"/>
    </row>
    <row r="26" spans="1:17" ht="15.6" x14ac:dyDescent="0.35">
      <c r="A26" s="139" t="s">
        <v>362</v>
      </c>
      <c r="B26" s="655" t="s">
        <v>274</v>
      </c>
      <c r="C26" s="637">
        <f>C21-C24*C25</f>
        <v>0</v>
      </c>
      <c r="D26" s="250">
        <f t="shared" ref="D26" si="11">D21-D24*D25</f>
        <v>0</v>
      </c>
      <c r="E26" s="250">
        <f t="shared" ref="E26" si="12">E21-E24*E25</f>
        <v>0</v>
      </c>
      <c r="F26" s="250">
        <f t="shared" ref="F26" si="13">F21-F24*F25</f>
        <v>0</v>
      </c>
      <c r="G26" s="250">
        <f t="shared" ref="G26" si="14">G21-G24*G25</f>
        <v>0</v>
      </c>
      <c r="H26" s="250">
        <f t="shared" ref="H26" si="15">H21-H24*H25</f>
        <v>0</v>
      </c>
      <c r="I26" s="250">
        <f t="shared" ref="I26" si="16">I21-I24*I25</f>
        <v>0</v>
      </c>
      <c r="J26" s="250">
        <f t="shared" ref="J26" si="17">J21-J24*J25</f>
        <v>0</v>
      </c>
      <c r="K26" s="250">
        <f t="shared" ref="K26" si="18">K21-K24*K25</f>
        <v>0</v>
      </c>
      <c r="L26" s="250">
        <f t="shared" ref="L26" si="19">L21-L24*L25</f>
        <v>0</v>
      </c>
      <c r="M26" s="250">
        <f t="shared" ref="M26" si="20">M21-M24*M25</f>
        <v>0</v>
      </c>
      <c r="N26" s="638">
        <f t="shared" ref="N26" si="21">N21-N24*N25</f>
        <v>0</v>
      </c>
      <c r="O26" s="635">
        <f>SUM(C26:N26)</f>
        <v>0</v>
      </c>
      <c r="P26" s="319" t="s">
        <v>262</v>
      </c>
    </row>
    <row r="27" spans="1:17" x14ac:dyDescent="0.25">
      <c r="A27" s="272" t="s">
        <v>363</v>
      </c>
      <c r="B27" s="651" t="s">
        <v>264</v>
      </c>
      <c r="C27" s="639" t="str">
        <f>IFERROR(C26/'2.lapa_Esošā situācija'!$J$7,"")</f>
        <v/>
      </c>
      <c r="D27" s="270" t="str">
        <f>IFERROR(D26/'2.lapa_Esošā situācija'!$J$7,"")</f>
        <v/>
      </c>
      <c r="E27" s="270" t="str">
        <f>IFERROR(E26/'2.lapa_Esošā situācija'!$J$7,"")</f>
        <v/>
      </c>
      <c r="F27" s="270" t="str">
        <f>IFERROR(F26/'2.lapa_Esošā situācija'!$J$7,"")</f>
        <v/>
      </c>
      <c r="G27" s="270" t="str">
        <f>IFERROR(G26/'2.lapa_Esošā situācija'!$J$7,"")</f>
        <v/>
      </c>
      <c r="H27" s="270" t="str">
        <f>IFERROR(H26/'2.lapa_Esošā situācija'!$J$7,"")</f>
        <v/>
      </c>
      <c r="I27" s="270" t="str">
        <f>IFERROR(I26/'2.lapa_Esošā situācija'!$J$7,"")</f>
        <v/>
      </c>
      <c r="J27" s="270" t="str">
        <f>IFERROR(J26/'2.lapa_Esošā situācija'!$J$7,"")</f>
        <v/>
      </c>
      <c r="K27" s="270" t="str">
        <f>IFERROR(K26/'2.lapa_Esošā situācija'!$J$7,"")</f>
        <v/>
      </c>
      <c r="L27" s="270" t="str">
        <f>IFERROR(L26/'2.lapa_Esošā situācija'!$J$7,"")</f>
        <v/>
      </c>
      <c r="M27" s="270" t="str">
        <f>IFERROR(M26/'2.lapa_Esošā situācija'!$J$7,"")</f>
        <v/>
      </c>
      <c r="N27" s="640" t="str">
        <f>IFERROR(N26/'2.lapa_Esošā situācija'!$J$7,"")</f>
        <v/>
      </c>
      <c r="O27" s="636">
        <f>SUM(C27:N27)</f>
        <v>0</v>
      </c>
      <c r="P27" s="316" t="s">
        <v>263</v>
      </c>
    </row>
  </sheetData>
  <mergeCells count="6">
    <mergeCell ref="A1:P1"/>
    <mergeCell ref="B3:P3"/>
    <mergeCell ref="B17:P17"/>
    <mergeCell ref="O18:P18"/>
    <mergeCell ref="O4:P4"/>
    <mergeCell ref="B2:P2"/>
  </mergeCells>
  <printOptions horizontalCentered="1"/>
  <pageMargins left="0.31496062992125984" right="0.31496062992125984" top="0.74803149606299213" bottom="0.74803149606299213" header="0.31496062992125984" footer="0.31496062992125984"/>
  <pageSetup paperSize="9" scale="69" orientation="portrait" horizontalDpi="1200" verticalDpi="1200" r:id="rId1"/>
  <headerFooter>
    <oddFooter>&amp;R&amp;A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B1:AR118"/>
  <sheetViews>
    <sheetView showGridLines="0" workbookViewId="0">
      <selection activeCell="Q12" sqref="Q12"/>
    </sheetView>
  </sheetViews>
  <sheetFormatPr defaultColWidth="8.88671875" defaultRowHeight="13.8" x14ac:dyDescent="0.25"/>
  <cols>
    <col min="1" max="1" width="2.33203125" style="17" customWidth="1"/>
    <col min="2" max="2" width="11" style="17" customWidth="1"/>
    <col min="3" max="3" width="9.21875" style="17" customWidth="1"/>
    <col min="4" max="4" width="17.33203125" style="17" customWidth="1"/>
    <col min="5" max="7" width="10.109375" style="17" customWidth="1"/>
    <col min="8" max="8" width="7.21875" style="17" bestFit="1" customWidth="1"/>
    <col min="9" max="10" width="9.88671875" style="17" customWidth="1"/>
    <col min="11" max="11" width="8" style="17" customWidth="1"/>
    <col min="12" max="14" width="11.33203125" style="17" customWidth="1"/>
    <col min="15" max="17" width="11.77734375" style="17" customWidth="1"/>
    <col min="18" max="25" width="11.77734375" style="17" hidden="1" customWidth="1"/>
    <col min="26" max="36" width="8.88671875" style="17" hidden="1" customWidth="1"/>
    <col min="37" max="43" width="8.88671875" style="17" customWidth="1"/>
    <col min="44" max="16384" width="8.88671875" style="17"/>
  </cols>
  <sheetData>
    <row r="1" spans="2:24" ht="20.399999999999999" x14ac:dyDescent="0.25">
      <c r="B1" s="570" t="s">
        <v>365</v>
      </c>
      <c r="C1" s="571"/>
      <c r="D1" s="571"/>
      <c r="E1" s="571"/>
      <c r="F1" s="571"/>
      <c r="G1" s="571"/>
      <c r="H1" s="571"/>
      <c r="I1" s="571"/>
      <c r="J1" s="571"/>
      <c r="K1" s="571"/>
      <c r="L1" s="571"/>
      <c r="M1" s="571"/>
      <c r="N1" s="571"/>
      <c r="O1" s="571"/>
    </row>
    <row r="2" spans="2:24" ht="7.2" customHeight="1" x14ac:dyDescent="0.25"/>
    <row r="3" spans="2:24" s="126" customFormat="1" ht="13.2" x14ac:dyDescent="0.25">
      <c r="B3" s="572" t="s">
        <v>2</v>
      </c>
      <c r="C3" s="572"/>
      <c r="D3" s="572"/>
      <c r="E3" s="572"/>
      <c r="F3" s="572"/>
      <c r="G3" s="572"/>
      <c r="H3" s="572"/>
      <c r="I3" s="574">
        <f>'1.lapa_Patēriņš'!F6</f>
        <v>0</v>
      </c>
      <c r="J3" s="575"/>
      <c r="K3" s="575"/>
      <c r="L3" s="575"/>
      <c r="M3" s="575"/>
      <c r="N3" s="575"/>
      <c r="O3" s="576"/>
    </row>
    <row r="4" spans="2:24" s="126" customFormat="1" ht="13.2" x14ac:dyDescent="0.25">
      <c r="B4" s="572" t="s">
        <v>33</v>
      </c>
      <c r="C4" s="572"/>
      <c r="D4" s="572"/>
      <c r="E4" s="572"/>
      <c r="F4" s="572"/>
      <c r="G4" s="572"/>
      <c r="H4" s="573"/>
      <c r="I4" s="577">
        <f>'1.lapa_Patēriņš'!F7</f>
        <v>0</v>
      </c>
      <c r="J4" s="575"/>
      <c r="K4" s="575"/>
      <c r="L4" s="575"/>
      <c r="M4" s="575"/>
      <c r="N4" s="575"/>
      <c r="O4" s="576"/>
    </row>
    <row r="5" spans="2:24" s="126" customFormat="1" ht="19.2" customHeight="1" x14ac:dyDescent="0.25">
      <c r="B5" s="572" t="s">
        <v>275</v>
      </c>
      <c r="C5" s="572"/>
      <c r="D5" s="572"/>
      <c r="E5" s="572"/>
      <c r="F5" s="572"/>
      <c r="G5" s="572"/>
      <c r="H5" s="572"/>
      <c r="I5" s="583">
        <f>IFERROR(N32-N62,"")</f>
        <v>0</v>
      </c>
      <c r="J5" s="584"/>
      <c r="K5" s="579" t="s">
        <v>12</v>
      </c>
      <c r="L5" s="580"/>
      <c r="O5" s="578"/>
    </row>
    <row r="6" spans="2:24" s="126" customFormat="1" ht="19.2" customHeight="1" x14ac:dyDescent="0.25">
      <c r="B6" s="572" t="s">
        <v>276</v>
      </c>
      <c r="C6" s="572"/>
      <c r="D6" s="572"/>
      <c r="E6" s="572"/>
      <c r="F6" s="572"/>
      <c r="G6" s="572"/>
      <c r="H6" s="572"/>
      <c r="I6" s="585">
        <f>IFERROR((O32-O62)/1000,"")</f>
        <v>0</v>
      </c>
      <c r="J6" s="586"/>
      <c r="K6" s="581" t="s">
        <v>192</v>
      </c>
      <c r="L6" s="582"/>
      <c r="O6" s="578"/>
    </row>
    <row r="7" spans="2:24" ht="5.4" customHeight="1" x14ac:dyDescent="0.25">
      <c r="O7" s="187"/>
    </row>
    <row r="8" spans="2:24" ht="18" x14ac:dyDescent="0.25">
      <c r="B8" s="559" t="s">
        <v>366</v>
      </c>
      <c r="C8" s="587"/>
      <c r="D8" s="588"/>
      <c r="E8" s="588"/>
      <c r="F8" s="588"/>
      <c r="G8" s="588"/>
      <c r="H8" s="588"/>
      <c r="I8" s="588"/>
      <c r="J8" s="588"/>
      <c r="K8" s="588"/>
      <c r="L8" s="588"/>
      <c r="M8" s="588"/>
      <c r="N8" s="588"/>
      <c r="O8" s="589"/>
    </row>
    <row r="9" spans="2:24" ht="13.95" customHeight="1" x14ac:dyDescent="0.25">
      <c r="B9" s="563" t="s">
        <v>183</v>
      </c>
      <c r="C9" s="530" t="s">
        <v>185</v>
      </c>
      <c r="D9" s="565" t="s">
        <v>39</v>
      </c>
      <c r="E9" s="566" t="s">
        <v>202</v>
      </c>
      <c r="F9" s="567"/>
      <c r="G9" s="568"/>
      <c r="H9" s="530" t="s">
        <v>184</v>
      </c>
      <c r="I9" s="547" t="s">
        <v>158</v>
      </c>
      <c r="J9" s="547" t="s">
        <v>159</v>
      </c>
      <c r="K9" s="530" t="s">
        <v>160</v>
      </c>
      <c r="L9" s="524" t="s">
        <v>188</v>
      </c>
      <c r="M9" s="525"/>
      <c r="N9" s="525"/>
      <c r="O9" s="526"/>
    </row>
    <row r="10" spans="2:24" ht="44.4" customHeight="1" x14ac:dyDescent="0.25">
      <c r="B10" s="563"/>
      <c r="C10" s="564"/>
      <c r="D10" s="565"/>
      <c r="E10" s="197" t="s">
        <v>201</v>
      </c>
      <c r="F10" s="198" t="s">
        <v>244</v>
      </c>
      <c r="G10" s="199" t="s">
        <v>197</v>
      </c>
      <c r="H10" s="564"/>
      <c r="I10" s="548"/>
      <c r="J10" s="548"/>
      <c r="K10" s="531"/>
      <c r="L10" s="186" t="s">
        <v>186</v>
      </c>
      <c r="M10" s="186" t="s">
        <v>195</v>
      </c>
      <c r="N10" s="186" t="s">
        <v>187</v>
      </c>
      <c r="O10" s="185" t="s">
        <v>161</v>
      </c>
    </row>
    <row r="11" spans="2:24" x14ac:dyDescent="0.25">
      <c r="B11" s="563"/>
      <c r="C11" s="132" t="s">
        <v>262</v>
      </c>
      <c r="D11" s="565"/>
      <c r="E11" s="132" t="s">
        <v>262</v>
      </c>
      <c r="F11" s="132" t="s">
        <v>262</v>
      </c>
      <c r="G11" s="132" t="s">
        <v>262</v>
      </c>
      <c r="H11" s="531"/>
      <c r="I11" s="549"/>
      <c r="J11" s="549"/>
      <c r="K11" s="132" t="s">
        <v>191</v>
      </c>
      <c r="L11" s="204" t="s">
        <v>262</v>
      </c>
      <c r="M11" s="204" t="s">
        <v>262</v>
      </c>
      <c r="N11" s="204" t="s">
        <v>262</v>
      </c>
      <c r="O11" s="204" t="s">
        <v>380</v>
      </c>
    </row>
    <row r="12" spans="2:24" ht="9.6" customHeight="1" x14ac:dyDescent="0.25">
      <c r="B12" s="133">
        <v>1</v>
      </c>
      <c r="C12" s="132">
        <v>2</v>
      </c>
      <c r="D12" s="132">
        <v>3</v>
      </c>
      <c r="E12" s="132">
        <v>4</v>
      </c>
      <c r="F12" s="132">
        <v>5</v>
      </c>
      <c r="G12" s="132">
        <v>6</v>
      </c>
      <c r="H12" s="134">
        <v>7</v>
      </c>
      <c r="I12" s="134">
        <v>8</v>
      </c>
      <c r="J12" s="132">
        <v>9</v>
      </c>
      <c r="K12" s="132">
        <v>10</v>
      </c>
      <c r="L12" s="134">
        <v>11</v>
      </c>
      <c r="M12" s="134">
        <v>12</v>
      </c>
      <c r="N12" s="134">
        <v>13</v>
      </c>
      <c r="O12" s="134">
        <v>14</v>
      </c>
    </row>
    <row r="13" spans="2:24" x14ac:dyDescent="0.25">
      <c r="B13" s="527" t="s">
        <v>34</v>
      </c>
      <c r="C13" s="534">
        <f>'2.lapa_Esošā situācija'!J66</f>
        <v>0</v>
      </c>
      <c r="D13" s="145" t="s">
        <v>119</v>
      </c>
      <c r="E13" s="322"/>
      <c r="F13" s="322"/>
      <c r="G13" s="323" t="str">
        <f>IF(E13+F13=0,"",E13+F13)</f>
        <v/>
      </c>
      <c r="H13" s="280">
        <f>'1.lapa_Patēriņš'!K19</f>
        <v>0</v>
      </c>
      <c r="I13" s="112" t="str">
        <f>IF(E13+F13=0,"",VLOOKUP(D13,$R$17:$X$36,5,FALSE))</f>
        <v/>
      </c>
      <c r="J13" s="112" t="str">
        <f>IF(E13+F13=0,"",VLOOKUP(D13,$R$16:$X$32,6,FALSE))</f>
        <v/>
      </c>
      <c r="K13" s="112" t="str">
        <f>IF(E13+F13=0,"",VLOOKUP(D13,$R$17:$X$36,7,FALSE))</f>
        <v/>
      </c>
      <c r="L13" s="325" t="str">
        <f>IF(E13+F13=0,"",G13/H13*I13)</f>
        <v/>
      </c>
      <c r="M13" s="325" t="str">
        <f>IF(E13+F13=0,"",G13/H13*J13)</f>
        <v/>
      </c>
      <c r="N13" s="325" t="str">
        <f>IF(E13+F13=0,"",L13+M13)</f>
        <v/>
      </c>
      <c r="O13" s="325" t="str">
        <f>IF(E13+F13=0,"",G13/H13*K13)</f>
        <v/>
      </c>
      <c r="R13" s="523"/>
      <c r="S13" s="523"/>
    </row>
    <row r="14" spans="2:24" x14ac:dyDescent="0.25">
      <c r="B14" s="533"/>
      <c r="C14" s="535"/>
      <c r="D14" s="145"/>
      <c r="E14" s="135"/>
      <c r="F14" s="322"/>
      <c r="G14" s="323" t="str">
        <f t="shared" ref="G14:G28" si="0">IF(E14+F14=0,"",E14+F14)</f>
        <v/>
      </c>
      <c r="H14" s="136"/>
      <c r="I14" s="112" t="str">
        <f>IF(E14+F14=0,"",VLOOKUP(D14,$R$17:$X$36,5,FALSE))</f>
        <v/>
      </c>
      <c r="J14" s="112" t="str">
        <f>IF(E14+F14=0,"",VLOOKUP(D14,$R$16:$X$32,6,FALSE))</f>
        <v/>
      </c>
      <c r="K14" s="112" t="str">
        <f>IF(E14+F14=0,"",VLOOKUP(D14,$R$17:$X$36,7,FALSE))</f>
        <v/>
      </c>
      <c r="L14" s="325" t="str">
        <f t="shared" ref="L14:L30" si="1">IF(E14+F14=0,"",G14/H14*I14)</f>
        <v/>
      </c>
      <c r="M14" s="325" t="str">
        <f t="shared" ref="M14:M30" si="2">IF(E14+F14=0,"",G14/H14*J14)</f>
        <v/>
      </c>
      <c r="N14" s="325" t="str">
        <f t="shared" ref="N14:N30" si="3">IF(E14+F14=0,"",L14+M14)</f>
        <v/>
      </c>
      <c r="O14" s="325" t="str">
        <f t="shared" ref="O14:O29" si="4">IF(E14+F14=0,"",G14/H14*K14)</f>
        <v/>
      </c>
    </row>
    <row r="15" spans="2:24" x14ac:dyDescent="0.25">
      <c r="B15" s="533"/>
      <c r="C15" s="535"/>
      <c r="D15" s="145"/>
      <c r="E15" s="135"/>
      <c r="F15" s="322"/>
      <c r="G15" s="323" t="str">
        <f t="shared" si="0"/>
        <v/>
      </c>
      <c r="H15" s="136"/>
      <c r="I15" s="112" t="str">
        <f>IF(E15+F15=0,"",VLOOKUP(D15,$R$17:$X$36,5,FALSE))</f>
        <v/>
      </c>
      <c r="J15" s="112" t="str">
        <f>IF(E15+F15=0,"",VLOOKUP(D15,$R$16:$X$32,6,FALSE))</f>
        <v/>
      </c>
      <c r="K15" s="112" t="str">
        <f>IF(E15+F15=0,"",VLOOKUP(D15,$R$17:$X$36,7,FALSE))</f>
        <v/>
      </c>
      <c r="L15" s="325" t="str">
        <f t="shared" si="1"/>
        <v/>
      </c>
      <c r="M15" s="325" t="str">
        <f t="shared" si="2"/>
        <v/>
      </c>
      <c r="N15" s="325" t="str">
        <f t="shared" si="3"/>
        <v/>
      </c>
      <c r="O15" s="325" t="str">
        <f t="shared" si="4"/>
        <v/>
      </c>
      <c r="R15" s="17" t="s">
        <v>105</v>
      </c>
    </row>
    <row r="16" spans="2:24" x14ac:dyDescent="0.25">
      <c r="B16" s="533"/>
      <c r="C16" s="535"/>
      <c r="D16" s="137" t="s">
        <v>74</v>
      </c>
      <c r="E16" s="322"/>
      <c r="F16" s="322"/>
      <c r="G16" s="323" t="str">
        <f t="shared" si="0"/>
        <v/>
      </c>
      <c r="H16" s="112">
        <v>1</v>
      </c>
      <c r="I16" s="112" t="str">
        <f>IF('6.lapa_Centralizētā'!E13=0,"",'6.lapa_Centralizētā'!C13)</f>
        <v/>
      </c>
      <c r="J16" s="112" t="str">
        <f>IF('6.lapa_Centralizētā'!E13=0,"",'6.lapa_Centralizētā'!D13)</f>
        <v/>
      </c>
      <c r="K16" s="112" t="str">
        <f>IF(E16+F16=0,"",'6.lapa_Centralizētā'!$E$24)</f>
        <v/>
      </c>
      <c r="L16" s="325" t="str">
        <f t="shared" si="1"/>
        <v/>
      </c>
      <c r="M16" s="325" t="str">
        <f t="shared" si="2"/>
        <v/>
      </c>
      <c r="N16" s="325" t="str">
        <f t="shared" si="3"/>
        <v/>
      </c>
      <c r="O16" s="325" t="str">
        <f t="shared" si="4"/>
        <v/>
      </c>
      <c r="R16" s="17" t="s">
        <v>106</v>
      </c>
      <c r="S16" s="17" t="s">
        <v>107</v>
      </c>
      <c r="V16" s="17" t="s">
        <v>166</v>
      </c>
      <c r="W16" s="17" t="s">
        <v>167</v>
      </c>
      <c r="X16" s="17" t="s">
        <v>168</v>
      </c>
    </row>
    <row r="17" spans="2:24" x14ac:dyDescent="0.25">
      <c r="B17" s="533"/>
      <c r="C17" s="535"/>
      <c r="D17" s="138" t="s">
        <v>68</v>
      </c>
      <c r="E17" s="135"/>
      <c r="F17" s="322"/>
      <c r="G17" s="323" t="str">
        <f t="shared" si="0"/>
        <v/>
      </c>
      <c r="H17" s="139">
        <v>1</v>
      </c>
      <c r="I17" s="112" t="str">
        <f>IF(E17+F17=0,"",VLOOKUP(D17,$R$17:$X$36,5,FALSE))</f>
        <v/>
      </c>
      <c r="J17" s="112" t="str">
        <f>IF(E17+F17=0,"",VLOOKUP(D17,$R$16:$X$32,6,FALSE))</f>
        <v/>
      </c>
      <c r="K17" s="112" t="str">
        <f>IF(E17+F17=0,"",VLOOKUP(D17,$R$17:$X$36,7,FALSE))</f>
        <v/>
      </c>
      <c r="L17" s="325" t="str">
        <f t="shared" si="1"/>
        <v/>
      </c>
      <c r="M17" s="325" t="str">
        <f t="shared" si="2"/>
        <v/>
      </c>
      <c r="N17" s="325" t="str">
        <f t="shared" si="3"/>
        <v/>
      </c>
      <c r="O17" s="325" t="str">
        <f t="shared" si="4"/>
        <v/>
      </c>
      <c r="R17" s="17" t="s">
        <v>100</v>
      </c>
      <c r="S17" s="17">
        <v>11.8</v>
      </c>
      <c r="T17" s="17" t="s">
        <v>101</v>
      </c>
      <c r="U17" s="17" t="s">
        <v>99</v>
      </c>
      <c r="V17" s="17">
        <v>1.1000000000000001</v>
      </c>
      <c r="W17" s="17">
        <v>0</v>
      </c>
      <c r="X17" s="17">
        <v>0.26700000000000002</v>
      </c>
    </row>
    <row r="18" spans="2:24" x14ac:dyDescent="0.25">
      <c r="B18" s="533"/>
      <c r="C18" s="535"/>
      <c r="D18" s="138" t="s">
        <v>190</v>
      </c>
      <c r="E18" s="135"/>
      <c r="F18" s="322"/>
      <c r="G18" s="323" t="str">
        <f t="shared" si="0"/>
        <v/>
      </c>
      <c r="H18" s="140">
        <v>1</v>
      </c>
      <c r="I18" s="112" t="str">
        <f>IF(E18+F18=0,"",VLOOKUP(D18,$R$17:$X$36,5,FALSE))</f>
        <v/>
      </c>
      <c r="J18" s="112" t="str">
        <f>IF(E18+F18=0,"",VLOOKUP(D18,$R$16:$X$32,6,FALSE))</f>
        <v/>
      </c>
      <c r="K18" s="112" t="str">
        <f>IF(E18+F18=0,"",VLOOKUP(D18,$R$17:$X$36,7,FALSE))</f>
        <v/>
      </c>
      <c r="L18" s="325" t="str">
        <f t="shared" si="1"/>
        <v/>
      </c>
      <c r="M18" s="325" t="str">
        <f t="shared" si="2"/>
        <v/>
      </c>
      <c r="N18" s="325" t="str">
        <f t="shared" si="3"/>
        <v/>
      </c>
      <c r="O18" s="325" t="str">
        <f t="shared" si="4"/>
        <v/>
      </c>
      <c r="R18" s="17" t="s">
        <v>102</v>
      </c>
      <c r="S18" s="17">
        <v>11.28</v>
      </c>
      <c r="T18" s="17" t="s">
        <v>101</v>
      </c>
      <c r="U18" s="17" t="s">
        <v>99</v>
      </c>
      <c r="V18" s="17">
        <v>1.1000000000000001</v>
      </c>
      <c r="W18" s="17">
        <v>0</v>
      </c>
      <c r="X18" s="17">
        <v>0.27900000000000003</v>
      </c>
    </row>
    <row r="19" spans="2:24" x14ac:dyDescent="0.25">
      <c r="B19" s="528"/>
      <c r="C19" s="536"/>
      <c r="D19" s="138" t="s">
        <v>38</v>
      </c>
      <c r="E19" s="135"/>
      <c r="F19" s="322"/>
      <c r="G19" s="323" t="str">
        <f t="shared" si="0"/>
        <v/>
      </c>
      <c r="H19" s="139">
        <v>1</v>
      </c>
      <c r="I19" s="112" t="str">
        <f>IF(E19+F19=0,"",VLOOKUP(D19,$R$17:$X$37,5,FALSE))</f>
        <v/>
      </c>
      <c r="J19" s="112" t="str">
        <f>IF(E19+F19=0,"",VLOOKUP(D19,$R$16:$X$37,6,FALSE))</f>
        <v/>
      </c>
      <c r="K19" s="112" t="str">
        <f>IF(E19+F19=0,"",VLOOKUP(D19,$R$17:$X$37,7,FALSE))</f>
        <v/>
      </c>
      <c r="L19" s="325" t="str">
        <f t="shared" si="1"/>
        <v/>
      </c>
      <c r="M19" s="325" t="str">
        <f t="shared" si="2"/>
        <v/>
      </c>
      <c r="N19" s="325" t="str">
        <f t="shared" si="3"/>
        <v/>
      </c>
      <c r="O19" s="325" t="str">
        <f t="shared" si="4"/>
        <v/>
      </c>
      <c r="R19" s="17" t="s">
        <v>103</v>
      </c>
      <c r="S19" s="17">
        <v>12.65</v>
      </c>
      <c r="T19" s="17" t="s">
        <v>101</v>
      </c>
      <c r="U19" s="17" t="s">
        <v>99</v>
      </c>
      <c r="V19" s="17">
        <v>1.1000000000000001</v>
      </c>
      <c r="W19" s="17">
        <v>0</v>
      </c>
      <c r="X19" s="17">
        <v>0.22700000000000001</v>
      </c>
    </row>
    <row r="20" spans="2:24" ht="13.95" customHeight="1" x14ac:dyDescent="0.25">
      <c r="B20" s="537" t="s">
        <v>379</v>
      </c>
      <c r="C20" s="540"/>
      <c r="D20" s="145"/>
      <c r="E20" s="135"/>
      <c r="F20" s="322"/>
      <c r="G20" s="323" t="str">
        <f t="shared" si="0"/>
        <v/>
      </c>
      <c r="H20" s="280">
        <f>H13</f>
        <v>0</v>
      </c>
      <c r="I20" s="112" t="str">
        <f>IF(E20+F20=0,"",VLOOKUP(D20,$R$17:$X$36,5,FALSE))</f>
        <v/>
      </c>
      <c r="J20" s="112" t="str">
        <f>IF(E20+F20=0,"",VLOOKUP(D20,$R$16:$X$32,6,FALSE))</f>
        <v/>
      </c>
      <c r="K20" s="112" t="str">
        <f>IF(E20+F20=0,"",VLOOKUP(D20,$R$17:$X$36,7,FALSE))</f>
        <v/>
      </c>
      <c r="L20" s="325" t="str">
        <f t="shared" si="1"/>
        <v/>
      </c>
      <c r="M20" s="325" t="str">
        <f t="shared" si="2"/>
        <v/>
      </c>
      <c r="N20" s="325" t="str">
        <f t="shared" si="3"/>
        <v/>
      </c>
      <c r="O20" s="325" t="str">
        <f t="shared" si="4"/>
        <v/>
      </c>
      <c r="R20" s="17" t="s">
        <v>104</v>
      </c>
      <c r="S20" s="17">
        <v>9.16</v>
      </c>
      <c r="T20" s="17" t="s">
        <v>101</v>
      </c>
      <c r="U20" s="17" t="s">
        <v>99</v>
      </c>
      <c r="V20" s="17">
        <v>1.1000000000000001</v>
      </c>
      <c r="W20" s="17">
        <v>0</v>
      </c>
      <c r="X20" s="17">
        <v>2.7099999999999999E-2</v>
      </c>
    </row>
    <row r="21" spans="2:24" x14ac:dyDescent="0.25">
      <c r="B21" s="538"/>
      <c r="C21" s="541"/>
      <c r="D21" s="145"/>
      <c r="E21" s="135"/>
      <c r="F21" s="322"/>
      <c r="G21" s="323" t="str">
        <f t="shared" si="0"/>
        <v/>
      </c>
      <c r="H21" s="136"/>
      <c r="I21" s="112" t="str">
        <f>IF(E21+F21=0,"",VLOOKUP(D21,$R$17:$X$36,5,FALSE))</f>
        <v/>
      </c>
      <c r="J21" s="112" t="str">
        <f>IF(E21+F21=0,"",VLOOKUP(D21,$R$16:$X$32,6,FALSE))</f>
        <v/>
      </c>
      <c r="K21" s="112" t="str">
        <f>IF(E21+F21=0,"",VLOOKUP(D21,$R$17:$X$36,7,FALSE))</f>
        <v/>
      </c>
      <c r="L21" s="325" t="str">
        <f t="shared" si="1"/>
        <v/>
      </c>
      <c r="M21" s="325" t="str">
        <f t="shared" si="2"/>
        <v/>
      </c>
      <c r="N21" s="325" t="str">
        <f t="shared" si="3"/>
        <v/>
      </c>
      <c r="O21" s="325" t="str">
        <f t="shared" si="4"/>
        <v/>
      </c>
      <c r="R21" s="17" t="s">
        <v>108</v>
      </c>
      <c r="S21" s="17">
        <v>6.7</v>
      </c>
      <c r="T21" s="17" t="s">
        <v>101</v>
      </c>
      <c r="U21" s="17" t="s">
        <v>99</v>
      </c>
      <c r="V21" s="17">
        <v>1.1000000000000001</v>
      </c>
      <c r="W21" s="17">
        <v>0</v>
      </c>
      <c r="X21" s="17">
        <v>0.35399999999999998</v>
      </c>
    </row>
    <row r="22" spans="2:24" x14ac:dyDescent="0.25">
      <c r="B22" s="538"/>
      <c r="C22" s="541"/>
      <c r="D22" s="145"/>
      <c r="E22" s="135"/>
      <c r="F22" s="322"/>
      <c r="G22" s="323" t="str">
        <f t="shared" si="0"/>
        <v/>
      </c>
      <c r="H22" s="136"/>
      <c r="I22" s="112" t="str">
        <f>IF(E22+F22=0,"",VLOOKUP(D22,$R$17:$X$36,5,FALSE))</f>
        <v/>
      </c>
      <c r="J22" s="112" t="str">
        <f>IF(E22+F22=0,"",VLOOKUP(D22,$R$16:$X$32,6,FALSE))</f>
        <v/>
      </c>
      <c r="K22" s="112" t="str">
        <f>IF(E22+F22=0,"",VLOOKUP(D22,$R$17:$X$36,7,FALSE))</f>
        <v/>
      </c>
      <c r="L22" s="325" t="str">
        <f t="shared" si="1"/>
        <v/>
      </c>
      <c r="M22" s="325" t="str">
        <f t="shared" si="2"/>
        <v/>
      </c>
      <c r="N22" s="325" t="str">
        <f t="shared" si="3"/>
        <v/>
      </c>
      <c r="O22" s="325" t="str">
        <f t="shared" si="4"/>
        <v/>
      </c>
      <c r="R22" s="17" t="s">
        <v>109</v>
      </c>
      <c r="S22" s="17">
        <v>2.79</v>
      </c>
      <c r="T22" s="17" t="s">
        <v>101</v>
      </c>
      <c r="U22" s="17" t="s">
        <v>99</v>
      </c>
      <c r="V22" s="17">
        <v>1.1000000000000001</v>
      </c>
      <c r="W22" s="17">
        <v>0</v>
      </c>
      <c r="X22" s="17">
        <v>0.29399999999999998</v>
      </c>
    </row>
    <row r="23" spans="2:24" x14ac:dyDescent="0.25">
      <c r="B23" s="538"/>
      <c r="C23" s="541"/>
      <c r="D23" s="137" t="s">
        <v>74</v>
      </c>
      <c r="E23" s="135"/>
      <c r="F23" s="322"/>
      <c r="G23" s="323" t="str">
        <f t="shared" si="0"/>
        <v/>
      </c>
      <c r="H23" s="112">
        <v>1</v>
      </c>
      <c r="I23" s="112" t="str">
        <f>IF('6.lapa_Centralizētā'!E13=0,"",'6.lapa_Centralizētā'!C13)</f>
        <v/>
      </c>
      <c r="J23" s="112" t="str">
        <f>IF('6.lapa_Centralizētā'!E13=0,"",'6.lapa_Centralizētā'!D13)</f>
        <v/>
      </c>
      <c r="K23" s="112" t="str">
        <f>IF(E23+F23=0,"",'6.lapa_Centralizētā'!$E$24)</f>
        <v/>
      </c>
      <c r="L23" s="325" t="str">
        <f t="shared" si="1"/>
        <v/>
      </c>
      <c r="M23" s="325" t="str">
        <f t="shared" si="2"/>
        <v/>
      </c>
      <c r="N23" s="325" t="str">
        <f t="shared" si="3"/>
        <v/>
      </c>
      <c r="O23" s="325" t="str">
        <f t="shared" si="4"/>
        <v/>
      </c>
      <c r="R23" s="17" t="s">
        <v>110</v>
      </c>
      <c r="S23" s="17">
        <v>9.5</v>
      </c>
      <c r="T23" s="17" t="s">
        <v>111</v>
      </c>
      <c r="U23" s="17" t="s">
        <v>70</v>
      </c>
      <c r="V23" s="17">
        <v>1.1000000000000001</v>
      </c>
      <c r="W23" s="17">
        <v>0</v>
      </c>
      <c r="X23" s="17">
        <v>0.20200000000000001</v>
      </c>
    </row>
    <row r="24" spans="2:24" x14ac:dyDescent="0.25">
      <c r="B24" s="538"/>
      <c r="C24" s="541"/>
      <c r="D24" s="138" t="s">
        <v>68</v>
      </c>
      <c r="E24" s="135"/>
      <c r="F24" s="322"/>
      <c r="G24" s="323" t="str">
        <f t="shared" si="0"/>
        <v/>
      </c>
      <c r="H24" s="139">
        <v>1</v>
      </c>
      <c r="I24" s="112" t="str">
        <f>IF(E24+F24=0,"",VLOOKUP(D24,$R$17:$X$36,5,FALSE))</f>
        <v/>
      </c>
      <c r="J24" s="112" t="str">
        <f>IF(E24+F24=0,"",VLOOKUP(D24,$R$16:$X$32,6,FALSE))</f>
        <v/>
      </c>
      <c r="K24" s="112" t="str">
        <f>IF(E24+F24=0,"",VLOOKUP(D24,$R$17:$X$36,7,FALSE))</f>
        <v/>
      </c>
      <c r="L24" s="325" t="str">
        <f t="shared" si="1"/>
        <v/>
      </c>
      <c r="M24" s="325" t="str">
        <f t="shared" si="2"/>
        <v/>
      </c>
      <c r="N24" s="325" t="str">
        <f t="shared" si="3"/>
        <v/>
      </c>
      <c r="O24" s="325" t="str">
        <f t="shared" si="4"/>
        <v/>
      </c>
      <c r="R24" s="17" t="s">
        <v>112</v>
      </c>
      <c r="S24" s="17">
        <v>2140</v>
      </c>
      <c r="T24" s="17" t="s">
        <v>115</v>
      </c>
      <c r="U24" s="17" t="s">
        <v>121</v>
      </c>
      <c r="V24" s="17">
        <v>0.2</v>
      </c>
      <c r="W24" s="17">
        <v>1</v>
      </c>
      <c r="X24" s="17">
        <v>0.04</v>
      </c>
    </row>
    <row r="25" spans="2:24" x14ac:dyDescent="0.25">
      <c r="B25" s="538"/>
      <c r="C25" s="541"/>
      <c r="D25" s="138" t="str">
        <f>D18</f>
        <v>Elektroenerģija no tīkla</v>
      </c>
      <c r="E25" s="322"/>
      <c r="F25" s="322"/>
      <c r="G25" s="323" t="str">
        <f t="shared" si="0"/>
        <v/>
      </c>
      <c r="H25" s="140">
        <v>1</v>
      </c>
      <c r="I25" s="112" t="str">
        <f>IF(E25+F25=0,"",VLOOKUP(D25,$R$17:$X$36,5,FALSE))</f>
        <v/>
      </c>
      <c r="J25" s="112" t="str">
        <f>IF(E25+F25=0,"",VLOOKUP(D25,$R$16:$X$32,6,FALSE))</f>
        <v/>
      </c>
      <c r="K25" s="112" t="str">
        <f>IF(E25+F25=0,"",VLOOKUP(D25,$R$17:$X$36,7,FALSE))</f>
        <v/>
      </c>
      <c r="L25" s="325" t="str">
        <f t="shared" si="1"/>
        <v/>
      </c>
      <c r="M25" s="325" t="str">
        <f t="shared" si="2"/>
        <v/>
      </c>
      <c r="N25" s="325" t="str">
        <f t="shared" si="3"/>
        <v/>
      </c>
      <c r="O25" s="325" t="str">
        <f t="shared" si="4"/>
        <v/>
      </c>
      <c r="R25" s="17" t="s">
        <v>113</v>
      </c>
      <c r="S25" s="17">
        <v>750</v>
      </c>
      <c r="T25" s="17" t="s">
        <v>114</v>
      </c>
      <c r="U25" s="17" t="s">
        <v>122</v>
      </c>
      <c r="V25" s="17">
        <v>0.2</v>
      </c>
      <c r="W25" s="17">
        <v>1</v>
      </c>
      <c r="X25" s="17">
        <v>0.04</v>
      </c>
    </row>
    <row r="26" spans="2:24" x14ac:dyDescent="0.25">
      <c r="B26" s="539"/>
      <c r="C26" s="542"/>
      <c r="D26" s="138" t="s">
        <v>38</v>
      </c>
      <c r="E26" s="322"/>
      <c r="F26" s="322"/>
      <c r="G26" s="323" t="str">
        <f t="shared" si="0"/>
        <v/>
      </c>
      <c r="H26" s="139">
        <v>1</v>
      </c>
      <c r="I26" s="112" t="str">
        <f>IF(E26+F26=0,"",VLOOKUP(D26,$R$17:$X$37,5,FALSE))</f>
        <v/>
      </c>
      <c r="J26" s="112" t="str">
        <f>IF(E26+F26=0,"",VLOOKUP(D26,$R$16:$X$37,6,FALSE))</f>
        <v/>
      </c>
      <c r="K26" s="112" t="str">
        <f>IF(E26+F26=0,"",VLOOKUP(D26,$R$17:$X$37,7,FALSE))</f>
        <v/>
      </c>
      <c r="L26" s="325" t="str">
        <f t="shared" si="1"/>
        <v/>
      </c>
      <c r="M26" s="325" t="str">
        <f t="shared" si="2"/>
        <v/>
      </c>
      <c r="N26" s="325" t="str">
        <f t="shared" si="3"/>
        <v/>
      </c>
      <c r="O26" s="325" t="str">
        <f t="shared" si="4"/>
        <v/>
      </c>
      <c r="R26" s="17" t="s">
        <v>116</v>
      </c>
      <c r="S26" s="17">
        <v>910</v>
      </c>
      <c r="T26" s="17" t="s">
        <v>114</v>
      </c>
      <c r="U26" s="17" t="s">
        <v>122</v>
      </c>
      <c r="V26" s="17">
        <v>0.2</v>
      </c>
      <c r="W26" s="17">
        <v>1</v>
      </c>
      <c r="X26" s="17">
        <v>0.04</v>
      </c>
    </row>
    <row r="27" spans="2:24" ht="14.4" customHeight="1" x14ac:dyDescent="0.25">
      <c r="B27" s="310" t="s">
        <v>378</v>
      </c>
      <c r="C27" s="324"/>
      <c r="D27" s="138" t="s">
        <v>190</v>
      </c>
      <c r="E27" s="323">
        <f>C27</f>
        <v>0</v>
      </c>
      <c r="F27" s="323"/>
      <c r="G27" s="323" t="str">
        <f>IF(E27+F27=0,"",E27+F27)</f>
        <v/>
      </c>
      <c r="H27" s="139">
        <v>1</v>
      </c>
      <c r="I27" s="112" t="str">
        <f>IF(E27+F27=0,"",VLOOKUP(D27,$R$17:$X$36,5,FALSE))</f>
        <v/>
      </c>
      <c r="J27" s="112" t="str">
        <f>IF(E27+F27=0,"",VLOOKUP(D27,$R$16:$X$32,6,FALSE))</f>
        <v/>
      </c>
      <c r="K27" s="112" t="str">
        <f>IF(E27+F27=0,"",VLOOKUP(D27,$R$17:$X$36,7,FALSE))</f>
        <v/>
      </c>
      <c r="L27" s="325" t="str">
        <f t="shared" si="1"/>
        <v/>
      </c>
      <c r="M27" s="325" t="str">
        <f t="shared" si="2"/>
        <v/>
      </c>
      <c r="N27" s="325" t="str">
        <f t="shared" si="3"/>
        <v/>
      </c>
      <c r="O27" s="325" t="str">
        <f t="shared" si="4"/>
        <v/>
      </c>
      <c r="R27" s="17" t="s">
        <v>117</v>
      </c>
      <c r="S27" s="17">
        <v>4.66</v>
      </c>
      <c r="T27" s="17" t="s">
        <v>101</v>
      </c>
      <c r="U27" s="17" t="s">
        <v>99</v>
      </c>
      <c r="V27" s="17">
        <v>0.2</v>
      </c>
      <c r="W27" s="17">
        <v>1</v>
      </c>
      <c r="X27" s="17">
        <v>0.04</v>
      </c>
    </row>
    <row r="28" spans="2:24" ht="14.4" customHeight="1" x14ac:dyDescent="0.25">
      <c r="B28" s="310" t="s">
        <v>36</v>
      </c>
      <c r="C28" s="324"/>
      <c r="D28" s="138" t="s">
        <v>190</v>
      </c>
      <c r="E28" s="323">
        <f>C28</f>
        <v>0</v>
      </c>
      <c r="F28" s="323"/>
      <c r="G28" s="323" t="str">
        <f t="shared" si="0"/>
        <v/>
      </c>
      <c r="H28" s="139">
        <v>1</v>
      </c>
      <c r="I28" s="112" t="str">
        <f>IF(E28+F28=0,"",VLOOKUP(D28,$R$17:$X$36,5,FALSE))</f>
        <v/>
      </c>
      <c r="J28" s="112" t="str">
        <f>IF(E28+F28=0,"",VLOOKUP(D28,$R$16:$X$32,6,FALSE))</f>
        <v/>
      </c>
      <c r="K28" s="112" t="str">
        <f>IF(E28+F28=0,"",VLOOKUP(D28,$R$17:$X$36,7,FALSE))</f>
        <v/>
      </c>
      <c r="L28" s="325" t="str">
        <f t="shared" si="1"/>
        <v/>
      </c>
      <c r="M28" s="325" t="str">
        <f t="shared" si="2"/>
        <v/>
      </c>
      <c r="N28" s="325" t="str">
        <f t="shared" si="3"/>
        <v/>
      </c>
      <c r="O28" s="325" t="str">
        <f t="shared" si="4"/>
        <v/>
      </c>
      <c r="R28" s="17" t="s">
        <v>119</v>
      </c>
      <c r="S28" s="17">
        <v>4.87</v>
      </c>
      <c r="T28" s="17" t="s">
        <v>101</v>
      </c>
      <c r="U28" s="17" t="s">
        <v>99</v>
      </c>
      <c r="V28" s="17">
        <v>0.2</v>
      </c>
      <c r="W28" s="17">
        <v>1</v>
      </c>
      <c r="X28" s="17">
        <v>0.04</v>
      </c>
    </row>
    <row r="29" spans="2:24" ht="14.4" customHeight="1" x14ac:dyDescent="0.25">
      <c r="B29" s="527" t="s">
        <v>37</v>
      </c>
      <c r="C29" s="529"/>
      <c r="D29" s="138" t="s">
        <v>190</v>
      </c>
      <c r="E29" s="322"/>
      <c r="F29" s="322"/>
      <c r="G29" s="323" t="str">
        <f>IF(E29+F29=0,"",E29+F29)</f>
        <v/>
      </c>
      <c r="H29" s="332">
        <v>3</v>
      </c>
      <c r="I29" s="112" t="str">
        <f>IF(E29+F29=0,"",VLOOKUP(D29,$R$17:$X$36,5,FALSE))</f>
        <v/>
      </c>
      <c r="J29" s="112" t="str">
        <f>IF(E29+F29=0,"",VLOOKUP(D29,$R$16:$X$32,6,FALSE))</f>
        <v/>
      </c>
      <c r="K29" s="112" t="str">
        <f>IF(E29+F29=0,"",VLOOKUP(D29,$R$17:$X$36,7,FALSE))</f>
        <v/>
      </c>
      <c r="L29" s="325" t="str">
        <f>IF(E29+F29=0,"",G29*I29)</f>
        <v/>
      </c>
      <c r="M29" s="325" t="str">
        <f>IF(E29+F29=0,"",G29*J29)</f>
        <v/>
      </c>
      <c r="N29" s="325" t="str">
        <f t="shared" si="3"/>
        <v/>
      </c>
      <c r="O29" s="325" t="str">
        <f t="shared" si="4"/>
        <v/>
      </c>
    </row>
    <row r="30" spans="2:24" x14ac:dyDescent="0.25">
      <c r="B30" s="528"/>
      <c r="C30" s="529"/>
      <c r="D30" s="145"/>
      <c r="E30" s="196"/>
      <c r="F30" s="322"/>
      <c r="G30" s="323" t="str">
        <f t="shared" ref="G30" si="5">IF(E30+F30=0,"",E30+F30)</f>
        <v/>
      </c>
      <c r="H30" s="139">
        <v>1</v>
      </c>
      <c r="I30" s="112" t="str">
        <f>IF(E30+F30=0,"",VLOOKUP(D30,$R$17:$X$36,5,FALSE))</f>
        <v/>
      </c>
      <c r="J30" s="112" t="str">
        <f>IF(E30+F30=0,"",VLOOKUP(D30,$R$16:$X$32,6,FALSE))</f>
        <v/>
      </c>
      <c r="K30" s="112" t="str">
        <f>IF(E30+F30=0,"",VLOOKUP(D30,$R$17:$X$36,7,FALSE))</f>
        <v/>
      </c>
      <c r="L30" s="325" t="str">
        <f t="shared" si="1"/>
        <v/>
      </c>
      <c r="M30" s="325" t="str">
        <f t="shared" si="2"/>
        <v/>
      </c>
      <c r="N30" s="325" t="str">
        <f t="shared" si="3"/>
        <v/>
      </c>
      <c r="O30" s="325" t="str">
        <f>IF(E30+F30=0,"",G30*K30)</f>
        <v/>
      </c>
      <c r="R30" s="17" t="s">
        <v>118</v>
      </c>
      <c r="S30" s="17">
        <v>10.33</v>
      </c>
      <c r="T30" s="17" t="s">
        <v>101</v>
      </c>
      <c r="U30" s="17" t="s">
        <v>99</v>
      </c>
      <c r="V30" s="17">
        <v>0.5</v>
      </c>
      <c r="W30" s="17">
        <v>1</v>
      </c>
      <c r="X30" s="17">
        <v>7.0000000000000007E-2</v>
      </c>
    </row>
    <row r="31" spans="2:24" ht="14.4" customHeight="1" x14ac:dyDescent="0.25">
      <c r="B31" s="544" t="s">
        <v>384</v>
      </c>
      <c r="C31" s="545"/>
      <c r="D31" s="545"/>
      <c r="E31" s="545"/>
      <c r="F31" s="546"/>
      <c r="G31" s="309"/>
      <c r="H31" s="140"/>
      <c r="I31" s="112">
        <v>-1.9</v>
      </c>
      <c r="J31" s="112">
        <v>0.4</v>
      </c>
      <c r="K31" s="112">
        <v>-0.109</v>
      </c>
      <c r="L31" s="325">
        <f>IF(G31=0,0,IF(G31="",0,G31/H31*I31))</f>
        <v>0</v>
      </c>
      <c r="M31" s="325">
        <f>IF(G31=0,0,IF(G31="",0,G31/H31*J31))</f>
        <v>0</v>
      </c>
      <c r="N31" s="325">
        <f>IF(G31=0,0,IF(G31="",0,L31+M31))</f>
        <v>0</v>
      </c>
      <c r="O31" s="325">
        <f>IF(G31=0,0,IF(G31="",0,G31/H31*K31))</f>
        <v>0</v>
      </c>
      <c r="R31" s="17" t="s">
        <v>120</v>
      </c>
      <c r="S31" s="17">
        <v>7.44</v>
      </c>
      <c r="T31" s="17" t="s">
        <v>101</v>
      </c>
      <c r="U31" s="17" t="s">
        <v>99</v>
      </c>
      <c r="V31" s="17">
        <v>0.1</v>
      </c>
      <c r="W31" s="17">
        <v>1</v>
      </c>
      <c r="X31" s="17">
        <v>0.1</v>
      </c>
    </row>
    <row r="32" spans="2:24" ht="16.2" customHeight="1" x14ac:dyDescent="0.3">
      <c r="B32" s="192"/>
      <c r="C32" s="193"/>
      <c r="D32" s="550"/>
      <c r="E32" s="552" t="s">
        <v>193</v>
      </c>
      <c r="F32" s="553"/>
      <c r="G32" s="285">
        <f>SUM(G13:G16,G20:G23)</f>
        <v>0</v>
      </c>
      <c r="H32" s="202" t="s">
        <v>12</v>
      </c>
      <c r="I32" s="192"/>
      <c r="J32" s="192"/>
      <c r="K32" s="200" t="s">
        <v>165</v>
      </c>
      <c r="L32" s="327">
        <f>SUM(L13:L31)</f>
        <v>0</v>
      </c>
      <c r="M32" s="327">
        <f t="shared" ref="M32:O32" si="6">SUM(M13:M31)</f>
        <v>0</v>
      </c>
      <c r="N32" s="327">
        <f t="shared" si="6"/>
        <v>0</v>
      </c>
      <c r="O32" s="327">
        <f t="shared" si="6"/>
        <v>0</v>
      </c>
      <c r="R32" s="17" t="s">
        <v>190</v>
      </c>
      <c r="V32" s="17">
        <v>1.9</v>
      </c>
      <c r="W32" s="17">
        <v>0.6</v>
      </c>
      <c r="X32" s="17">
        <v>0.109</v>
      </c>
    </row>
    <row r="33" spans="2:44" x14ac:dyDescent="0.25">
      <c r="B33" s="192"/>
      <c r="C33" s="193"/>
      <c r="D33" s="550"/>
      <c r="E33" s="551" t="s">
        <v>194</v>
      </c>
      <c r="F33" s="551"/>
      <c r="G33" s="326">
        <f>SUM(G18,G25,G27,G28,G29)</f>
        <v>0</v>
      </c>
      <c r="H33" s="201" t="s">
        <v>12</v>
      </c>
      <c r="I33" s="282" t="s">
        <v>375</v>
      </c>
      <c r="J33" s="193"/>
      <c r="K33" s="532"/>
      <c r="L33" s="320"/>
      <c r="M33" s="320"/>
      <c r="N33" s="320"/>
      <c r="O33" s="321"/>
      <c r="P33" s="83"/>
      <c r="R33" s="17" t="s">
        <v>189</v>
      </c>
      <c r="V33" s="17">
        <v>0</v>
      </c>
      <c r="W33" s="17">
        <v>1</v>
      </c>
      <c r="X33" s="17">
        <v>0</v>
      </c>
    </row>
    <row r="34" spans="2:44" ht="15.6" x14ac:dyDescent="0.25">
      <c r="B34" s="192"/>
      <c r="C34" s="193"/>
      <c r="D34" s="550"/>
      <c r="E34" s="554" t="s">
        <v>373</v>
      </c>
      <c r="F34" s="555"/>
      <c r="G34" s="203">
        <f>G32+G33</f>
        <v>0</v>
      </c>
      <c r="H34" s="286" t="s">
        <v>12</v>
      </c>
      <c r="I34" s="556" t="str">
        <f>IFERROR(100%-ABS(G34/G35),"")</f>
        <v/>
      </c>
      <c r="J34" s="192"/>
      <c r="K34" s="532"/>
      <c r="L34" s="283"/>
      <c r="M34" s="283"/>
      <c r="N34" s="283"/>
      <c r="O34" s="283"/>
      <c r="P34" s="83"/>
      <c r="R34" s="17" t="s">
        <v>68</v>
      </c>
      <c r="V34" s="17">
        <v>0</v>
      </c>
      <c r="W34" s="17">
        <v>1</v>
      </c>
      <c r="X34" s="17">
        <v>0</v>
      </c>
    </row>
    <row r="35" spans="2:44" ht="15.6" x14ac:dyDescent="0.25">
      <c r="B35" s="192"/>
      <c r="C35" s="193"/>
      <c r="D35" s="279"/>
      <c r="E35" s="554" t="s">
        <v>374</v>
      </c>
      <c r="F35" s="555"/>
      <c r="G35" s="284" t="str">
        <f>IFERROR('1.lapa_Patēriņš'!O39*1000+'1.lapa_Patēriņš'!O48*1000+'1.lapa_Patēriņš'!O15*1000,"")</f>
        <v/>
      </c>
      <c r="H35" s="287" t="s">
        <v>12</v>
      </c>
      <c r="I35" s="557"/>
      <c r="J35" s="192"/>
      <c r="K35" s="281"/>
      <c r="L35" s="283"/>
      <c r="M35" s="283"/>
      <c r="N35" s="283"/>
      <c r="O35" s="2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row>
    <row r="36" spans="2:44" ht="9.6" customHeight="1" x14ac:dyDescent="0.25">
      <c r="B36" s="189"/>
      <c r="C36" s="188"/>
      <c r="D36" s="188"/>
      <c r="E36" s="188"/>
      <c r="F36" s="188"/>
      <c r="G36" s="188"/>
      <c r="H36" s="188"/>
      <c r="I36" s="188"/>
      <c r="J36" s="188"/>
      <c r="K36" s="188"/>
      <c r="L36" s="188"/>
      <c r="M36" s="188"/>
      <c r="N36" s="188"/>
      <c r="O36" s="188"/>
      <c r="R36" s="17" t="s">
        <v>103</v>
      </c>
      <c r="S36" s="17">
        <v>12.65</v>
      </c>
      <c r="T36" s="17" t="s">
        <v>101</v>
      </c>
      <c r="U36" s="17" t="s">
        <v>99</v>
      </c>
      <c r="V36" s="17">
        <v>1.1000000000000001</v>
      </c>
      <c r="W36" s="17">
        <v>0</v>
      </c>
      <c r="X36" s="17">
        <v>0.22700000000000001</v>
      </c>
    </row>
    <row r="37" spans="2:44" ht="18" x14ac:dyDescent="0.25">
      <c r="B37" s="559" t="s">
        <v>367</v>
      </c>
      <c r="C37" s="560"/>
      <c r="D37" s="561"/>
      <c r="E37" s="561"/>
      <c r="F37" s="561"/>
      <c r="G37" s="561"/>
      <c r="H37" s="561"/>
      <c r="I37" s="561"/>
      <c r="J37" s="561"/>
      <c r="K37" s="561"/>
      <c r="L37" s="561"/>
      <c r="M37" s="561"/>
      <c r="N37" s="561"/>
      <c r="O37" s="562"/>
      <c r="R37" s="17" t="s">
        <v>38</v>
      </c>
      <c r="V37" s="17">
        <v>0</v>
      </c>
      <c r="W37" s="17">
        <v>1</v>
      </c>
      <c r="X37" s="17">
        <v>0</v>
      </c>
    </row>
    <row r="38" spans="2:44" ht="13.95" customHeight="1" x14ac:dyDescent="0.25">
      <c r="B38" s="563" t="s">
        <v>183</v>
      </c>
      <c r="C38" s="530" t="s">
        <v>185</v>
      </c>
      <c r="D38" s="565" t="s">
        <v>39</v>
      </c>
      <c r="E38" s="566" t="s">
        <v>202</v>
      </c>
      <c r="F38" s="567"/>
      <c r="G38" s="568"/>
      <c r="H38" s="530" t="s">
        <v>184</v>
      </c>
      <c r="I38" s="547" t="s">
        <v>158</v>
      </c>
      <c r="J38" s="547" t="s">
        <v>159</v>
      </c>
      <c r="K38" s="530" t="s">
        <v>160</v>
      </c>
      <c r="L38" s="524" t="s">
        <v>188</v>
      </c>
      <c r="M38" s="525"/>
      <c r="N38" s="525"/>
      <c r="O38" s="526"/>
    </row>
    <row r="39" spans="2:44" ht="44.4" customHeight="1" x14ac:dyDescent="0.25">
      <c r="B39" s="563"/>
      <c r="C39" s="564"/>
      <c r="D39" s="565"/>
      <c r="E39" s="195" t="s">
        <v>201</v>
      </c>
      <c r="F39" s="198" t="s">
        <v>244</v>
      </c>
      <c r="G39" s="199" t="s">
        <v>197</v>
      </c>
      <c r="H39" s="564"/>
      <c r="I39" s="548"/>
      <c r="J39" s="548"/>
      <c r="K39" s="531"/>
      <c r="L39" s="186" t="s">
        <v>186</v>
      </c>
      <c r="M39" s="186" t="s">
        <v>196</v>
      </c>
      <c r="N39" s="186" t="s">
        <v>187</v>
      </c>
      <c r="O39" s="185" t="s">
        <v>161</v>
      </c>
    </row>
    <row r="40" spans="2:44" x14ac:dyDescent="0.25">
      <c r="B40" s="563"/>
      <c r="C40" s="132" t="s">
        <v>262</v>
      </c>
      <c r="D40" s="565"/>
      <c r="E40" s="132" t="s">
        <v>262</v>
      </c>
      <c r="F40" s="132" t="s">
        <v>262</v>
      </c>
      <c r="G40" s="132" t="s">
        <v>262</v>
      </c>
      <c r="H40" s="531"/>
      <c r="I40" s="549"/>
      <c r="J40" s="549"/>
      <c r="K40" s="132" t="s">
        <v>191</v>
      </c>
      <c r="L40" s="204" t="s">
        <v>262</v>
      </c>
      <c r="M40" s="204" t="s">
        <v>262</v>
      </c>
      <c r="N40" s="204" t="s">
        <v>262</v>
      </c>
      <c r="O40" s="204" t="s">
        <v>380</v>
      </c>
    </row>
    <row r="41" spans="2:44" ht="9.6" customHeight="1" x14ac:dyDescent="0.25">
      <c r="B41" s="133">
        <v>1</v>
      </c>
      <c r="C41" s="132">
        <v>2</v>
      </c>
      <c r="D41" s="132">
        <v>3</v>
      </c>
      <c r="E41" s="132">
        <v>4</v>
      </c>
      <c r="F41" s="132">
        <v>4</v>
      </c>
      <c r="G41" s="132">
        <v>4</v>
      </c>
      <c r="H41" s="134">
        <v>5</v>
      </c>
      <c r="I41" s="134">
        <v>7</v>
      </c>
      <c r="J41" s="132">
        <v>8</v>
      </c>
      <c r="K41" s="132">
        <v>10</v>
      </c>
      <c r="L41" s="134">
        <v>9</v>
      </c>
      <c r="M41" s="134">
        <v>9</v>
      </c>
      <c r="N41" s="134">
        <v>9</v>
      </c>
      <c r="O41" s="134">
        <v>11</v>
      </c>
    </row>
    <row r="42" spans="2:44" x14ac:dyDescent="0.25">
      <c r="B42" s="527" t="s">
        <v>34</v>
      </c>
      <c r="C42" s="534">
        <f>'3.lapa_Situācija pēc'!J66</f>
        <v>0</v>
      </c>
      <c r="D42" s="145"/>
      <c r="E42" s="322"/>
      <c r="F42" s="322"/>
      <c r="G42" s="323" t="str">
        <f t="shared" ref="G42:G59" si="7">IF(E42+F42=0,"",E42+F42)</f>
        <v/>
      </c>
      <c r="H42" s="136"/>
      <c r="I42" s="112" t="str">
        <f>IF(E42+F42=0,"",VLOOKUP(D42,$R$17:$X$36,5,FALSE))</f>
        <v/>
      </c>
      <c r="J42" s="112" t="str">
        <f>IF(E42+F42=0,"",VLOOKUP(D42,$R$16:$X$32,6,FALSE))</f>
        <v/>
      </c>
      <c r="K42" s="112" t="str">
        <f>IF(E42+F42=0,"",VLOOKUP(D42,$R$17:$X$36,7,FALSE))</f>
        <v/>
      </c>
      <c r="L42" s="325" t="str">
        <f>IF(E42+F42=0,"",G42/H42*I42)</f>
        <v/>
      </c>
      <c r="M42" s="325" t="str">
        <f>IF(E42+F42=0,"",G42/H42*J42)</f>
        <v/>
      </c>
      <c r="N42" s="325" t="str">
        <f>IF(E42+F42=0,"",L42+M42)</f>
        <v/>
      </c>
      <c r="O42" s="325" t="str">
        <f>IF(E42+F42=0,"",G42/H42*K42)</f>
        <v/>
      </c>
    </row>
    <row r="43" spans="2:44" x14ac:dyDescent="0.25">
      <c r="B43" s="533"/>
      <c r="C43" s="535"/>
      <c r="D43" s="145"/>
      <c r="E43" s="322"/>
      <c r="F43" s="322"/>
      <c r="G43" s="323" t="str">
        <f t="shared" si="7"/>
        <v/>
      </c>
      <c r="H43" s="136"/>
      <c r="I43" s="112" t="str">
        <f>IF(E43+F43=0,"",VLOOKUP(D43,$R$17:$X$36,5,FALSE))</f>
        <v/>
      </c>
      <c r="J43" s="112" t="str">
        <f>IF(E43+F43=0,"",VLOOKUP(D43,$R$16:$X$32,6,FALSE))</f>
        <v/>
      </c>
      <c r="K43" s="112" t="str">
        <f>IF(E43+F43=0,"",VLOOKUP(D43,$R$17:$X$36,7,FALSE))</f>
        <v/>
      </c>
      <c r="L43" s="325" t="str">
        <f t="shared" ref="L43:L57" si="8">IF(E43+F43=0,"",G43/H43*I43)</f>
        <v/>
      </c>
      <c r="M43" s="325" t="str">
        <f t="shared" ref="M43:M57" si="9">IF(E43+F43=0,"",G43/H43*J43)</f>
        <v/>
      </c>
      <c r="N43" s="325" t="str">
        <f t="shared" ref="N43:N58" si="10">IF(E43+F43=0,"",L43+M43)</f>
        <v/>
      </c>
      <c r="O43" s="325" t="str">
        <f t="shared" ref="O43:O57" si="11">IF(E43+F43=0,"",G43/H43*K43)</f>
        <v/>
      </c>
    </row>
    <row r="44" spans="2:44" x14ac:dyDescent="0.25">
      <c r="B44" s="533"/>
      <c r="C44" s="535"/>
      <c r="D44" s="145"/>
      <c r="E44" s="322"/>
      <c r="F44" s="322"/>
      <c r="G44" s="323" t="str">
        <f t="shared" si="7"/>
        <v/>
      </c>
      <c r="H44" s="136"/>
      <c r="I44" s="112" t="str">
        <f>IF(E44+F44=0,"",VLOOKUP(D44,$R$17:$X$36,5,FALSE))</f>
        <v/>
      </c>
      <c r="J44" s="112" t="str">
        <f>IF(E44+F44=0,"",VLOOKUP(D44,$R$16:$X$32,6,FALSE))</f>
        <v/>
      </c>
      <c r="K44" s="112" t="str">
        <f>IF(E44+F44=0,"",VLOOKUP(D44,$R$17:$X$36,7,FALSE))</f>
        <v/>
      </c>
      <c r="L44" s="325" t="str">
        <f t="shared" si="8"/>
        <v/>
      </c>
      <c r="M44" s="325" t="str">
        <f t="shared" si="9"/>
        <v/>
      </c>
      <c r="N44" s="325" t="str">
        <f t="shared" si="10"/>
        <v/>
      </c>
      <c r="O44" s="325" t="str">
        <f t="shared" si="11"/>
        <v/>
      </c>
    </row>
    <row r="45" spans="2:44" x14ac:dyDescent="0.25">
      <c r="B45" s="533"/>
      <c r="C45" s="535"/>
      <c r="D45" s="137" t="s">
        <v>74</v>
      </c>
      <c r="E45" s="322"/>
      <c r="F45" s="322"/>
      <c r="G45" s="323" t="str">
        <f t="shared" si="7"/>
        <v/>
      </c>
      <c r="H45" s="112">
        <v>1</v>
      </c>
      <c r="I45" s="141" t="str">
        <f>IF(E45+F45=0,"",'6.lapa_Centralizētā'!$C$13)</f>
        <v/>
      </c>
      <c r="J45" s="141" t="str">
        <f>IF(E45+F45=0,"",'6.lapa_Centralizētā'!$D$13)</f>
        <v/>
      </c>
      <c r="K45" s="112" t="str">
        <f>IF(E45+F45=0,"",'6.lapa_Centralizētā'!$E$24)</f>
        <v/>
      </c>
      <c r="L45" s="325" t="str">
        <f t="shared" si="8"/>
        <v/>
      </c>
      <c r="M45" s="325" t="str">
        <f t="shared" si="9"/>
        <v/>
      </c>
      <c r="N45" s="325" t="str">
        <f t="shared" si="10"/>
        <v/>
      </c>
      <c r="O45" s="325" t="str">
        <f t="shared" si="11"/>
        <v/>
      </c>
    </row>
    <row r="46" spans="2:44" x14ac:dyDescent="0.25">
      <c r="B46" s="533"/>
      <c r="C46" s="535"/>
      <c r="D46" s="138" t="s">
        <v>68</v>
      </c>
      <c r="E46" s="322"/>
      <c r="F46" s="322"/>
      <c r="G46" s="323" t="str">
        <f t="shared" si="7"/>
        <v/>
      </c>
      <c r="H46" s="139">
        <v>1</v>
      </c>
      <c r="I46" s="36" t="str">
        <f>IF(E46+F46=0,"",VLOOKUP(D46,$R$17:$X$36,5,FALSE))</f>
        <v/>
      </c>
      <c r="J46" s="36" t="str">
        <f>IF(E46+F46=0,"",VLOOKUP(D46,$R$16:$X$32,6,FALSE))</f>
        <v/>
      </c>
      <c r="K46" s="112" t="str">
        <f>IF(E46+F46=0,"",VLOOKUP(D46,$R$17:$X$36,7,FALSE))</f>
        <v/>
      </c>
      <c r="L46" s="325" t="str">
        <f t="shared" si="8"/>
        <v/>
      </c>
      <c r="M46" s="325" t="str">
        <f t="shared" si="9"/>
        <v/>
      </c>
      <c r="N46" s="325" t="str">
        <f t="shared" si="10"/>
        <v/>
      </c>
      <c r="O46" s="325" t="str">
        <f t="shared" si="11"/>
        <v/>
      </c>
    </row>
    <row r="47" spans="2:44" x14ac:dyDescent="0.25">
      <c r="B47" s="533"/>
      <c r="C47" s="535"/>
      <c r="D47" s="138" t="s">
        <v>190</v>
      </c>
      <c r="E47" s="322"/>
      <c r="F47" s="322"/>
      <c r="G47" s="323" t="str">
        <f t="shared" si="7"/>
        <v/>
      </c>
      <c r="H47" s="140">
        <v>1</v>
      </c>
      <c r="I47" s="112" t="str">
        <f>IF(E47+F47=0,"",VLOOKUP(D47,$R$17:$X$36,5,FALSE))</f>
        <v/>
      </c>
      <c r="J47" s="112" t="str">
        <f>IF(E47+F47=0,"",VLOOKUP(D47,$R$16:$X$32,6,FALSE))</f>
        <v/>
      </c>
      <c r="K47" s="112" t="str">
        <f>IF(E47+F47=0,"",VLOOKUP(D47,$R$17:$X$36,7,FALSE))</f>
        <v/>
      </c>
      <c r="L47" s="325" t="str">
        <f t="shared" si="8"/>
        <v/>
      </c>
      <c r="M47" s="325" t="str">
        <f t="shared" si="9"/>
        <v/>
      </c>
      <c r="N47" s="325" t="str">
        <f t="shared" si="10"/>
        <v/>
      </c>
      <c r="O47" s="325" t="str">
        <f t="shared" si="11"/>
        <v/>
      </c>
    </row>
    <row r="48" spans="2:44" x14ac:dyDescent="0.25">
      <c r="B48" s="528"/>
      <c r="C48" s="536"/>
      <c r="D48" s="138" t="s">
        <v>38</v>
      </c>
      <c r="E48" s="322"/>
      <c r="F48" s="322"/>
      <c r="G48" s="323" t="str">
        <f t="shared" si="7"/>
        <v/>
      </c>
      <c r="H48" s="139">
        <v>1</v>
      </c>
      <c r="I48" s="36" t="str">
        <f>IF(E48+F48=0,"",VLOOKUP(D48,$R$17:$X$37,5,FALSE))</f>
        <v/>
      </c>
      <c r="J48" s="36" t="str">
        <f>IF(E48+F48=0,"",VLOOKUP(D48,$R$16:$X$37,6,FALSE))</f>
        <v/>
      </c>
      <c r="K48" s="112" t="str">
        <f>IF(E48+F48=0,"",VLOOKUP(D48,$R$17:$X$37,7,FALSE))</f>
        <v/>
      </c>
      <c r="L48" s="325" t="str">
        <f t="shared" si="8"/>
        <v/>
      </c>
      <c r="M48" s="325" t="str">
        <f>IF(E48+F48=0,"",G48*J48)</f>
        <v/>
      </c>
      <c r="N48" s="325" t="str">
        <f t="shared" si="10"/>
        <v/>
      </c>
      <c r="O48" s="325" t="str">
        <f t="shared" si="11"/>
        <v/>
      </c>
    </row>
    <row r="49" spans="2:19" ht="13.95" customHeight="1" x14ac:dyDescent="0.25">
      <c r="B49" s="537" t="s">
        <v>35</v>
      </c>
      <c r="C49" s="540"/>
      <c r="D49" s="145"/>
      <c r="E49" s="322"/>
      <c r="F49" s="322"/>
      <c r="G49" s="323" t="str">
        <f t="shared" si="7"/>
        <v/>
      </c>
      <c r="H49" s="139">
        <f>H42</f>
        <v>0</v>
      </c>
      <c r="I49" s="112" t="str">
        <f>IF(E49+F49=0,"",VLOOKUP(D49,$R$17:$X$36,5,FALSE))</f>
        <v/>
      </c>
      <c r="J49" s="112" t="str">
        <f>IF(E49+F49=0,"",VLOOKUP(D49,$R$16:$X$32,6,FALSE))</f>
        <v/>
      </c>
      <c r="K49" s="112" t="str">
        <f>IF(E49+F49=0,"",VLOOKUP(D49,$R$17:$X$36,7,FALSE))</f>
        <v/>
      </c>
      <c r="L49" s="325" t="str">
        <f t="shared" si="8"/>
        <v/>
      </c>
      <c r="M49" s="325" t="str">
        <f t="shared" si="9"/>
        <v/>
      </c>
      <c r="N49" s="325" t="str">
        <f t="shared" si="10"/>
        <v/>
      </c>
      <c r="O49" s="325" t="str">
        <f t="shared" si="11"/>
        <v/>
      </c>
    </row>
    <row r="50" spans="2:19" x14ac:dyDescent="0.25">
      <c r="B50" s="538"/>
      <c r="C50" s="541"/>
      <c r="D50" s="145"/>
      <c r="E50" s="322"/>
      <c r="F50" s="322"/>
      <c r="G50" s="323" t="str">
        <f t="shared" si="7"/>
        <v/>
      </c>
      <c r="H50" s="136"/>
      <c r="I50" s="112" t="str">
        <f>IF(E50+F50=0,"",VLOOKUP(D50,$R$17:$X$36,5,FALSE))</f>
        <v/>
      </c>
      <c r="J50" s="112" t="str">
        <f>IF(E50+F50=0,"",VLOOKUP(D50,$R$16:$X$32,6,FALSE))</f>
        <v/>
      </c>
      <c r="K50" s="112" t="str">
        <f>IF(E50+F50=0,"",VLOOKUP(D50,$R$17:$X$36,7,FALSE))</f>
        <v/>
      </c>
      <c r="L50" s="325" t="str">
        <f t="shared" si="8"/>
        <v/>
      </c>
      <c r="M50" s="325" t="str">
        <f t="shared" si="9"/>
        <v/>
      </c>
      <c r="N50" s="325" t="str">
        <f t="shared" si="10"/>
        <v/>
      </c>
      <c r="O50" s="325" t="str">
        <f t="shared" si="11"/>
        <v/>
      </c>
    </row>
    <row r="51" spans="2:19" x14ac:dyDescent="0.25">
      <c r="B51" s="538"/>
      <c r="C51" s="541"/>
      <c r="D51" s="145"/>
      <c r="E51" s="322"/>
      <c r="F51" s="322"/>
      <c r="G51" s="323" t="str">
        <f t="shared" si="7"/>
        <v/>
      </c>
      <c r="H51" s="136"/>
      <c r="I51" s="112" t="str">
        <f>IF(E51+F51=0,"",VLOOKUP(D51,$R$17:$X$36,5,FALSE))</f>
        <v/>
      </c>
      <c r="J51" s="112" t="str">
        <f>IF(E51+F51=0,"",VLOOKUP(D51,$R$16:$X$32,6,FALSE))</f>
        <v/>
      </c>
      <c r="K51" s="112" t="str">
        <f>IF(E51+F51=0,"",VLOOKUP(D51,$R$17:$X$36,7,FALSE))</f>
        <v/>
      </c>
      <c r="L51" s="325" t="str">
        <f t="shared" si="8"/>
        <v/>
      </c>
      <c r="M51" s="325" t="str">
        <f t="shared" si="9"/>
        <v/>
      </c>
      <c r="N51" s="325" t="str">
        <f t="shared" si="10"/>
        <v/>
      </c>
      <c r="O51" s="325" t="str">
        <f t="shared" si="11"/>
        <v/>
      </c>
    </row>
    <row r="52" spans="2:19" x14ac:dyDescent="0.25">
      <c r="B52" s="538"/>
      <c r="C52" s="541"/>
      <c r="D52" s="137" t="s">
        <v>74</v>
      </c>
      <c r="E52" s="322"/>
      <c r="F52" s="322"/>
      <c r="G52" s="323" t="str">
        <f t="shared" si="7"/>
        <v/>
      </c>
      <c r="H52" s="112">
        <v>1</v>
      </c>
      <c r="I52" s="141" t="str">
        <f>IF(E52+F52=0,"",'6.lapa_Centralizētā'!$C$13)</f>
        <v/>
      </c>
      <c r="J52" s="141" t="str">
        <f>IF(E52+F52=0,"",'6.lapa_Centralizētā'!$D$13)</f>
        <v/>
      </c>
      <c r="K52" s="112" t="str">
        <f>IF(E52+F52=0,"",'6.lapa_Centralizētā'!$E$24)</f>
        <v/>
      </c>
      <c r="L52" s="325" t="str">
        <f t="shared" si="8"/>
        <v/>
      </c>
      <c r="M52" s="325" t="str">
        <f t="shared" si="9"/>
        <v/>
      </c>
      <c r="N52" s="325" t="str">
        <f t="shared" si="10"/>
        <v/>
      </c>
      <c r="O52" s="325" t="str">
        <f t="shared" si="11"/>
        <v/>
      </c>
    </row>
    <row r="53" spans="2:19" x14ac:dyDescent="0.25">
      <c r="B53" s="538"/>
      <c r="C53" s="541"/>
      <c r="D53" s="138" t="s">
        <v>68</v>
      </c>
      <c r="E53" s="322"/>
      <c r="F53" s="322"/>
      <c r="G53" s="323" t="str">
        <f t="shared" si="7"/>
        <v/>
      </c>
      <c r="H53" s="139">
        <v>1</v>
      </c>
      <c r="I53" s="36" t="str">
        <f>IF(E53+F53=0,"",VLOOKUP(D53,$R$17:$X$36,5,FALSE))</f>
        <v/>
      </c>
      <c r="J53" s="36" t="str">
        <f>IF(E53+F53=0,"",VLOOKUP(D53,$R$16:$X$32,6,FALSE))</f>
        <v/>
      </c>
      <c r="K53" s="112" t="str">
        <f>IF(E53+F53=0,"",VLOOKUP(D53,$R$17:$X$36,7,FALSE))</f>
        <v/>
      </c>
      <c r="L53" s="325" t="str">
        <f t="shared" si="8"/>
        <v/>
      </c>
      <c r="M53" s="325" t="str">
        <f t="shared" si="9"/>
        <v/>
      </c>
      <c r="N53" s="325" t="str">
        <f t="shared" si="10"/>
        <v/>
      </c>
      <c r="O53" s="325" t="str">
        <f t="shared" si="11"/>
        <v/>
      </c>
    </row>
    <row r="54" spans="2:19" x14ac:dyDescent="0.25">
      <c r="B54" s="538"/>
      <c r="C54" s="541"/>
      <c r="D54" s="138" t="str">
        <f>D47</f>
        <v>Elektroenerģija no tīkla</v>
      </c>
      <c r="E54" s="322"/>
      <c r="F54" s="322"/>
      <c r="G54" s="323" t="str">
        <f t="shared" si="7"/>
        <v/>
      </c>
      <c r="H54" s="140">
        <v>1</v>
      </c>
      <c r="I54" s="36" t="str">
        <f>IF(E54+F54=0,"",VLOOKUP(D54,$R$17:$X$36,5,FALSE))</f>
        <v/>
      </c>
      <c r="J54" s="112" t="str">
        <f>IF(E54+F54=0,"",VLOOKUP(D54,$R$16:$X$32,6,FALSE))</f>
        <v/>
      </c>
      <c r="K54" s="112" t="str">
        <f>IF(E54+F54=0,"",VLOOKUP(D54,$R$17:$X$36,7,FALSE))</f>
        <v/>
      </c>
      <c r="L54" s="325" t="str">
        <f t="shared" si="8"/>
        <v/>
      </c>
      <c r="M54" s="325" t="str">
        <f t="shared" si="9"/>
        <v/>
      </c>
      <c r="N54" s="325" t="str">
        <f t="shared" si="10"/>
        <v/>
      </c>
      <c r="O54" s="325" t="str">
        <f t="shared" si="11"/>
        <v/>
      </c>
      <c r="P54" s="194"/>
    </row>
    <row r="55" spans="2:19" x14ac:dyDescent="0.25">
      <c r="B55" s="539"/>
      <c r="C55" s="542"/>
      <c r="D55" s="138" t="s">
        <v>38</v>
      </c>
      <c r="E55" s="322"/>
      <c r="F55" s="322"/>
      <c r="G55" s="323" t="str">
        <f t="shared" si="7"/>
        <v/>
      </c>
      <c r="H55" s="139">
        <v>1</v>
      </c>
      <c r="I55" s="36" t="str">
        <f>IF(E55+F55=0,"",VLOOKUP(D55,$R$17:$X$37,5,FALSE))</f>
        <v/>
      </c>
      <c r="J55" s="112" t="str">
        <f>IF(E55+F55=0,"",VLOOKUP(D55,$R$16:$X$37,6,FALSE))</f>
        <v/>
      </c>
      <c r="K55" s="112" t="str">
        <f>IF(E55+F55=0,"",VLOOKUP(D55,$R$17:$X$37,7,FALSE))</f>
        <v/>
      </c>
      <c r="L55" s="325" t="str">
        <f t="shared" si="8"/>
        <v/>
      </c>
      <c r="M55" s="325" t="str">
        <f>IF(E55+F55=0,"",G55*J55)</f>
        <v/>
      </c>
      <c r="N55" s="325" t="str">
        <f t="shared" si="10"/>
        <v/>
      </c>
      <c r="O55" s="325" t="str">
        <f t="shared" si="11"/>
        <v/>
      </c>
    </row>
    <row r="56" spans="2:19" ht="14.4" customHeight="1" x14ac:dyDescent="0.25">
      <c r="B56" s="310" t="s">
        <v>378</v>
      </c>
      <c r="C56" s="322"/>
      <c r="D56" s="138" t="s">
        <v>190</v>
      </c>
      <c r="E56" s="323">
        <f>C56</f>
        <v>0</v>
      </c>
      <c r="F56" s="323"/>
      <c r="G56" s="323" t="str">
        <f t="shared" si="7"/>
        <v/>
      </c>
      <c r="H56" s="139">
        <v>1</v>
      </c>
      <c r="I56" s="36" t="str">
        <f>IF(E56+F56=0,"",VLOOKUP(D56,$R$17:$X$36,5,FALSE))</f>
        <v/>
      </c>
      <c r="J56" s="112" t="str">
        <f>IF(E56+F56=0,"",VLOOKUP(D56,$R$16:$X$32,6,FALSE))</f>
        <v/>
      </c>
      <c r="K56" s="112" t="str">
        <f>IF(E56+F56=0,"",VLOOKUP(D56,$R$17:$X$36,7,FALSE))</f>
        <v/>
      </c>
      <c r="L56" s="325" t="str">
        <f t="shared" si="8"/>
        <v/>
      </c>
      <c r="M56" s="325" t="str">
        <f t="shared" si="9"/>
        <v/>
      </c>
      <c r="N56" s="325" t="str">
        <f t="shared" si="10"/>
        <v/>
      </c>
      <c r="O56" s="325" t="str">
        <f t="shared" si="11"/>
        <v/>
      </c>
      <c r="P56" s="194"/>
    </row>
    <row r="57" spans="2:19" ht="14.4" customHeight="1" x14ac:dyDescent="0.25">
      <c r="B57" s="310" t="s">
        <v>36</v>
      </c>
      <c r="C57" s="324"/>
      <c r="D57" s="138" t="s">
        <v>190</v>
      </c>
      <c r="E57" s="323">
        <f>C57</f>
        <v>0</v>
      </c>
      <c r="F57" s="323"/>
      <c r="G57" s="323" t="str">
        <f t="shared" si="7"/>
        <v/>
      </c>
      <c r="H57" s="139">
        <v>1</v>
      </c>
      <c r="I57" s="36" t="str">
        <f>IF(E57+F57=0,"",VLOOKUP(D57,$R$17:$X$36,5,FALSE))</f>
        <v/>
      </c>
      <c r="J57" s="112" t="str">
        <f>IF(E57+F57=0,"",VLOOKUP(D57,$R$16:$X$32,6,FALSE))</f>
        <v/>
      </c>
      <c r="K57" s="112" t="str">
        <f>IF(E57+F57=0,"",VLOOKUP(D57,$R$17:$X$36,7,FALSE))</f>
        <v/>
      </c>
      <c r="L57" s="325" t="str">
        <f t="shared" si="8"/>
        <v/>
      </c>
      <c r="M57" s="325" t="str">
        <f t="shared" si="9"/>
        <v/>
      </c>
      <c r="N57" s="325" t="str">
        <f t="shared" si="10"/>
        <v/>
      </c>
      <c r="O57" s="325" t="str">
        <f t="shared" si="11"/>
        <v/>
      </c>
    </row>
    <row r="58" spans="2:19" ht="14.4" customHeight="1" x14ac:dyDescent="0.25">
      <c r="B58" s="569" t="s">
        <v>37</v>
      </c>
      <c r="C58" s="529"/>
      <c r="D58" s="138" t="s">
        <v>190</v>
      </c>
      <c r="E58" s="322"/>
      <c r="F58" s="322"/>
      <c r="G58" s="323" t="str">
        <f t="shared" si="7"/>
        <v/>
      </c>
      <c r="H58" s="332"/>
      <c r="I58" s="36" t="str">
        <f>IF(E58+F58=0,"",VLOOKUP(D58,$R$17:$X$36,5,FALSE))</f>
        <v/>
      </c>
      <c r="J58" s="112" t="str">
        <f>IF(E58+F58=0,"",VLOOKUP(D58,$R$16:$X$32,6,FALSE))</f>
        <v/>
      </c>
      <c r="K58" s="112" t="str">
        <f>IF(E58+F58=0,"",VLOOKUP(D58,$R$17:$X$36,7,FALSE))</f>
        <v/>
      </c>
      <c r="L58" s="325" t="str">
        <f>IF(E58+F58=0,"",G58*I58)</f>
        <v/>
      </c>
      <c r="M58" s="325" t="str">
        <f>IF(E58+F58=0,"",G58*J58)</f>
        <v/>
      </c>
      <c r="N58" s="325" t="str">
        <f t="shared" si="10"/>
        <v/>
      </c>
      <c r="O58" s="325" t="str">
        <f>IF(E58+F58=0,"",G58*K58)</f>
        <v/>
      </c>
    </row>
    <row r="59" spans="2:19" x14ac:dyDescent="0.25">
      <c r="B59" s="569"/>
      <c r="C59" s="529"/>
      <c r="D59" s="145"/>
      <c r="E59" s="322"/>
      <c r="F59" s="322"/>
      <c r="G59" s="323" t="str">
        <f t="shared" si="7"/>
        <v/>
      </c>
      <c r="H59" s="139">
        <v>1</v>
      </c>
      <c r="I59" s="112" t="str">
        <f>IF(E59+F59=0,"",VLOOKUP(D59,$R$17:$X$36,5,FALSE))</f>
        <v/>
      </c>
      <c r="J59" s="112" t="str">
        <f>IF(E59+F59=0,"",VLOOKUP(D59,$R$16:$X$32,6,FALSE))</f>
        <v/>
      </c>
      <c r="K59" s="112" t="str">
        <f>IF(E59+F59=0,"",VLOOKUP(D59,$R$17:$X$36,7,FALSE))</f>
        <v/>
      </c>
      <c r="L59" s="325" t="str">
        <f>IF(E59+F59=0,"",G59*I59)</f>
        <v/>
      </c>
      <c r="M59" s="325" t="str">
        <f>IF(E59+F59=0,"",G59*J59)</f>
        <v/>
      </c>
      <c r="N59" s="325" t="str">
        <f t="shared" ref="N59" si="12">IF(E59+F59=0,"",L59+M59)</f>
        <v/>
      </c>
      <c r="O59" s="325" t="str">
        <f>IF(E59+F59=0,"",G59*K59)</f>
        <v/>
      </c>
      <c r="P59" s="194"/>
    </row>
    <row r="60" spans="2:19" ht="14.4" customHeight="1" x14ac:dyDescent="0.25">
      <c r="B60" s="544" t="s">
        <v>386</v>
      </c>
      <c r="C60" s="545"/>
      <c r="D60" s="545"/>
      <c r="E60" s="545"/>
      <c r="F60" s="546"/>
      <c r="G60" s="323">
        <f>G31</f>
        <v>0</v>
      </c>
      <c r="H60" s="112"/>
      <c r="I60" s="36">
        <v>-1.9</v>
      </c>
      <c r="J60" s="112">
        <v>0.4</v>
      </c>
      <c r="K60" s="112">
        <v>-0.109</v>
      </c>
      <c r="L60" s="325">
        <f>IF(G60=0,0,IF(G60="",0,G60*I60))</f>
        <v>0</v>
      </c>
      <c r="M60" s="325">
        <f>IF(G60=0,0,IF(G60="",0,G60*J60))</f>
        <v>0</v>
      </c>
      <c r="N60" s="325">
        <f>IF(G60=0,0,IF(G60="",0,L60+M60))</f>
        <v>0</v>
      </c>
      <c r="O60" s="325">
        <f>IF(G60=0,0,IF(G60="",0,G60*K60))</f>
        <v>0</v>
      </c>
      <c r="P60" s="194"/>
      <c r="R60" s="331"/>
    </row>
    <row r="61" spans="2:19" ht="14.4" customHeight="1" x14ac:dyDescent="0.25">
      <c r="B61" s="544" t="s">
        <v>384</v>
      </c>
      <c r="C61" s="545"/>
      <c r="D61" s="545"/>
      <c r="E61" s="545"/>
      <c r="F61" s="546"/>
      <c r="G61" s="323">
        <f>IFERROR(PV_enerģija!N18,0)</f>
        <v>0</v>
      </c>
      <c r="H61" s="112"/>
      <c r="I61" s="36">
        <v>-1.9</v>
      </c>
      <c r="J61" s="112">
        <v>0.4</v>
      </c>
      <c r="K61" s="112">
        <v>-0.109</v>
      </c>
      <c r="L61" s="325">
        <f>IF(G61=0,0,IF(G61="",0,G61*I61))</f>
        <v>0</v>
      </c>
      <c r="M61" s="325">
        <f>IF(G61=0,0,IF(G61="",0,G61*J61))</f>
        <v>0</v>
      </c>
      <c r="N61" s="325">
        <f>IF(G61=0,0,IF(G61="",0,L61+M61))</f>
        <v>0</v>
      </c>
      <c r="O61" s="325">
        <f>IF(G61=0,0,IF(G61="",0,G61*K61))</f>
        <v>0</v>
      </c>
      <c r="P61" s="194"/>
      <c r="R61" s="331"/>
    </row>
    <row r="62" spans="2:19" ht="16.2" customHeight="1" x14ac:dyDescent="0.3">
      <c r="B62" s="192"/>
      <c r="C62" s="192"/>
      <c r="D62" s="311"/>
      <c r="E62" s="543"/>
      <c r="F62" s="543"/>
      <c r="G62" s="293"/>
      <c r="H62" s="202"/>
      <c r="I62" s="192"/>
      <c r="J62" s="192"/>
      <c r="K62" s="200" t="s">
        <v>200</v>
      </c>
      <c r="L62" s="327">
        <f>SUM(L42:L61)</f>
        <v>0</v>
      </c>
      <c r="M62" s="327">
        <f t="shared" ref="M62:O62" si="13">SUM(M42:M61)</f>
        <v>0</v>
      </c>
      <c r="N62" s="327">
        <f t="shared" si="13"/>
        <v>0</v>
      </c>
      <c r="O62" s="327">
        <f t="shared" si="13"/>
        <v>0</v>
      </c>
      <c r="R62" s="331"/>
      <c r="S62" s="194"/>
    </row>
    <row r="63" spans="2:19" ht="37.799999999999997" customHeight="1" x14ac:dyDescent="0.25">
      <c r="B63" s="558" t="s">
        <v>368</v>
      </c>
      <c r="C63" s="558"/>
      <c r="D63" s="558"/>
      <c r="E63" s="558"/>
      <c r="F63" s="558"/>
      <c r="G63" s="558"/>
      <c r="H63" s="558"/>
      <c r="I63" s="558"/>
      <c r="J63" s="558"/>
      <c r="K63" s="558"/>
      <c r="L63" s="558"/>
      <c r="M63" s="558"/>
      <c r="N63" s="558"/>
      <c r="O63" s="558"/>
    </row>
    <row r="64" spans="2:19" ht="2.4" customHeight="1" x14ac:dyDescent="0.25">
      <c r="O64" s="142"/>
    </row>
    <row r="65" spans="2:15" ht="18.600000000000001" x14ac:dyDescent="0.3">
      <c r="B65" s="519" t="s">
        <v>68</v>
      </c>
      <c r="C65" s="520"/>
      <c r="D65" s="516" t="s">
        <v>198</v>
      </c>
      <c r="E65" s="517"/>
      <c r="F65" s="517"/>
      <c r="G65" s="517"/>
      <c r="H65" s="517"/>
      <c r="I65" s="517"/>
      <c r="J65" s="518"/>
      <c r="L65" s="306"/>
      <c r="M65" s="307" t="s">
        <v>377</v>
      </c>
      <c r="N65" s="190"/>
      <c r="O65" s="142">
        <f>IF(N65&gt;=20,1,0)</f>
        <v>0</v>
      </c>
    </row>
    <row r="66" spans="2:15" ht="15.6" x14ac:dyDescent="0.3">
      <c r="B66" s="521"/>
      <c r="C66" s="522"/>
      <c r="D66" s="516" t="s">
        <v>199</v>
      </c>
      <c r="E66" s="517"/>
      <c r="F66" s="517"/>
      <c r="G66" s="517"/>
      <c r="H66" s="517"/>
      <c r="I66" s="517"/>
      <c r="J66" s="518"/>
      <c r="L66" s="305">
        <f>L65*450</f>
        <v>0</v>
      </c>
      <c r="M66" s="191" t="s">
        <v>12</v>
      </c>
      <c r="N66" s="190"/>
    </row>
    <row r="67" spans="2:15" ht="15.6" x14ac:dyDescent="0.3">
      <c r="B67" s="519" t="s">
        <v>189</v>
      </c>
      <c r="C67" s="520"/>
      <c r="D67" s="516" t="s">
        <v>198</v>
      </c>
      <c r="E67" s="517"/>
      <c r="F67" s="517"/>
      <c r="G67" s="517"/>
      <c r="H67" s="517"/>
      <c r="I67" s="517"/>
      <c r="J67" s="518"/>
      <c r="L67" s="292"/>
      <c r="M67" s="191" t="s">
        <v>69</v>
      </c>
      <c r="N67" s="190"/>
      <c r="O67" s="142">
        <f>IF(N67&gt;=20,1,0)</f>
        <v>0</v>
      </c>
    </row>
    <row r="68" spans="2:15" ht="15.6" x14ac:dyDescent="0.3">
      <c r="B68" s="521"/>
      <c r="C68" s="522"/>
      <c r="D68" s="516" t="s">
        <v>199</v>
      </c>
      <c r="E68" s="517"/>
      <c r="F68" s="517"/>
      <c r="G68" s="517"/>
      <c r="H68" s="517"/>
      <c r="I68" s="517"/>
      <c r="J68" s="518"/>
      <c r="L68" s="308">
        <f>IFERROR(PV_enerģija!N17,0)</f>
        <v>0</v>
      </c>
      <c r="M68" s="191" t="s">
        <v>12</v>
      </c>
      <c r="N68" s="190"/>
    </row>
    <row r="69" spans="2:15" ht="22.8" customHeight="1" x14ac:dyDescent="0.25">
      <c r="B69" s="515" t="str">
        <f>IFERROR(IF(PV_enerģija!N17/1000&lt;'1.lapa_Patēriņš'!O48,"","PV saražotais elektroenerģijas daudzums pārsniedz elektroenerģijas pašpatēriņu pirms projekta īstenošanas, sniegt skaidrojumu !!!"),"")</f>
        <v/>
      </c>
      <c r="C69" s="515"/>
      <c r="D69" s="515"/>
      <c r="E69" s="515"/>
      <c r="F69" s="515"/>
      <c r="G69" s="515"/>
      <c r="H69" s="515"/>
      <c r="I69" s="515"/>
      <c r="J69" s="515"/>
      <c r="K69" s="515"/>
      <c r="L69" s="515"/>
      <c r="M69" s="515"/>
      <c r="N69" s="515"/>
      <c r="O69" s="515"/>
    </row>
    <row r="70" spans="2:15" x14ac:dyDescent="0.25">
      <c r="B70" s="515"/>
      <c r="C70" s="515"/>
      <c r="D70" s="515"/>
      <c r="E70" s="515"/>
      <c r="F70" s="515"/>
      <c r="G70" s="515"/>
      <c r="H70" s="515"/>
      <c r="I70" s="515"/>
      <c r="J70" s="515"/>
      <c r="K70" s="515"/>
      <c r="L70" s="515"/>
      <c r="M70" s="515"/>
      <c r="N70" s="515"/>
      <c r="O70" s="515"/>
    </row>
    <row r="71" spans="2:15" x14ac:dyDescent="0.25">
      <c r="B71" s="515"/>
      <c r="C71" s="515"/>
      <c r="D71" s="515"/>
      <c r="E71" s="515"/>
      <c r="F71" s="515"/>
      <c r="G71" s="515"/>
      <c r="H71" s="515"/>
      <c r="I71" s="515"/>
      <c r="J71" s="515"/>
      <c r="K71" s="515"/>
      <c r="L71" s="515"/>
      <c r="M71" s="515"/>
      <c r="N71" s="515"/>
      <c r="O71" s="515"/>
    </row>
    <row r="76" spans="2:15" x14ac:dyDescent="0.25">
      <c r="M76" s="20"/>
    </row>
    <row r="98" spans="18:24" x14ac:dyDescent="0.25">
      <c r="R98" s="17" t="s">
        <v>100</v>
      </c>
      <c r="S98" s="17">
        <v>11.8</v>
      </c>
      <c r="T98" s="17" t="s">
        <v>101</v>
      </c>
      <c r="U98" s="17" t="s">
        <v>99</v>
      </c>
      <c r="V98" s="17">
        <v>1.1000000000000001</v>
      </c>
      <c r="W98" s="17">
        <v>0</v>
      </c>
      <c r="X98" s="17">
        <v>0.26700000000000002</v>
      </c>
    </row>
    <row r="99" spans="18:24" x14ac:dyDescent="0.25">
      <c r="R99" s="17" t="s">
        <v>102</v>
      </c>
      <c r="S99" s="17">
        <v>11.28</v>
      </c>
      <c r="T99" s="17" t="s">
        <v>101</v>
      </c>
      <c r="U99" s="17" t="s">
        <v>99</v>
      </c>
      <c r="V99" s="17">
        <v>1.1000000000000001</v>
      </c>
      <c r="W99" s="17">
        <v>0</v>
      </c>
      <c r="X99" s="17">
        <v>0.27900000000000003</v>
      </c>
    </row>
    <row r="100" spans="18:24" x14ac:dyDescent="0.25">
      <c r="R100" s="17" t="s">
        <v>103</v>
      </c>
      <c r="S100" s="17">
        <v>12.65</v>
      </c>
      <c r="T100" s="17" t="s">
        <v>101</v>
      </c>
      <c r="U100" s="17" t="s">
        <v>99</v>
      </c>
      <c r="V100" s="17">
        <v>1.1000000000000001</v>
      </c>
      <c r="W100" s="17">
        <v>0</v>
      </c>
      <c r="X100" s="17">
        <v>0.22700000000000001</v>
      </c>
    </row>
    <row r="101" spans="18:24" x14ac:dyDescent="0.25">
      <c r="R101" s="17" t="s">
        <v>104</v>
      </c>
      <c r="S101" s="17">
        <v>9.16</v>
      </c>
      <c r="T101" s="17" t="s">
        <v>101</v>
      </c>
      <c r="U101" s="17" t="s">
        <v>99</v>
      </c>
      <c r="V101" s="17">
        <v>1.1000000000000001</v>
      </c>
      <c r="W101" s="17">
        <v>0</v>
      </c>
      <c r="X101" s="17">
        <v>2.7099999999999999E-2</v>
      </c>
    </row>
    <row r="102" spans="18:24" x14ac:dyDescent="0.25">
      <c r="R102" s="17" t="s">
        <v>108</v>
      </c>
      <c r="S102" s="17">
        <v>6.7</v>
      </c>
      <c r="T102" s="17" t="s">
        <v>101</v>
      </c>
      <c r="U102" s="17" t="s">
        <v>99</v>
      </c>
      <c r="V102" s="17">
        <v>1.1000000000000001</v>
      </c>
      <c r="W102" s="17">
        <v>0</v>
      </c>
      <c r="X102" s="17">
        <v>0.35399999999999998</v>
      </c>
    </row>
    <row r="103" spans="18:24" x14ac:dyDescent="0.25">
      <c r="R103" s="17" t="s">
        <v>109</v>
      </c>
      <c r="S103" s="17">
        <v>2.79</v>
      </c>
      <c r="T103" s="17" t="s">
        <v>101</v>
      </c>
      <c r="U103" s="17" t="s">
        <v>99</v>
      </c>
      <c r="V103" s="17">
        <v>1.1000000000000001</v>
      </c>
      <c r="W103" s="17">
        <v>0</v>
      </c>
      <c r="X103" s="17">
        <v>0.29399999999999998</v>
      </c>
    </row>
    <row r="104" spans="18:24" x14ac:dyDescent="0.25">
      <c r="R104" s="17" t="s">
        <v>110</v>
      </c>
      <c r="S104" s="17">
        <v>9.5</v>
      </c>
      <c r="T104" s="17" t="s">
        <v>111</v>
      </c>
      <c r="U104" s="17" t="s">
        <v>70</v>
      </c>
      <c r="V104" s="17">
        <v>1.1000000000000001</v>
      </c>
      <c r="W104" s="17">
        <v>0</v>
      </c>
      <c r="X104" s="17">
        <v>0.20200000000000001</v>
      </c>
    </row>
    <row r="105" spans="18:24" x14ac:dyDescent="0.25">
      <c r="R105" s="17" t="s">
        <v>112</v>
      </c>
      <c r="S105" s="17">
        <v>2140</v>
      </c>
      <c r="T105" s="17" t="s">
        <v>115</v>
      </c>
      <c r="U105" s="17" t="s">
        <v>121</v>
      </c>
      <c r="V105" s="17">
        <v>0.2</v>
      </c>
      <c r="W105" s="17">
        <v>1</v>
      </c>
      <c r="X105" s="17">
        <v>0.04</v>
      </c>
    </row>
    <row r="106" spans="18:24" x14ac:dyDescent="0.25">
      <c r="R106" s="17" t="s">
        <v>113</v>
      </c>
      <c r="S106" s="17">
        <v>750</v>
      </c>
      <c r="T106" s="17" t="s">
        <v>114</v>
      </c>
      <c r="U106" s="17" t="s">
        <v>122</v>
      </c>
      <c r="V106" s="17">
        <v>0.2</v>
      </c>
      <c r="W106" s="17">
        <v>1</v>
      </c>
      <c r="X106" s="17">
        <v>0.04</v>
      </c>
    </row>
    <row r="107" spans="18:24" x14ac:dyDescent="0.25">
      <c r="R107" s="17" t="s">
        <v>116</v>
      </c>
      <c r="S107" s="17">
        <v>910</v>
      </c>
      <c r="T107" s="17" t="s">
        <v>114</v>
      </c>
      <c r="U107" s="17" t="s">
        <v>122</v>
      </c>
      <c r="V107" s="17">
        <v>0.2</v>
      </c>
      <c r="W107" s="17">
        <v>1</v>
      </c>
      <c r="X107" s="17">
        <v>0.04</v>
      </c>
    </row>
    <row r="108" spans="18:24" x14ac:dyDescent="0.25">
      <c r="R108" s="17" t="s">
        <v>117</v>
      </c>
      <c r="S108" s="17">
        <v>4.66</v>
      </c>
      <c r="T108" s="17" t="s">
        <v>101</v>
      </c>
      <c r="U108" s="17" t="s">
        <v>99</v>
      </c>
      <c r="V108" s="17">
        <v>0.2</v>
      </c>
      <c r="W108" s="17">
        <v>1</v>
      </c>
      <c r="X108" s="17">
        <v>0.04</v>
      </c>
    </row>
    <row r="109" spans="18:24" x14ac:dyDescent="0.25">
      <c r="R109" s="17" t="s">
        <v>119</v>
      </c>
      <c r="S109" s="17">
        <v>4.87</v>
      </c>
      <c r="T109" s="17" t="s">
        <v>101</v>
      </c>
      <c r="U109" s="17" t="s">
        <v>99</v>
      </c>
      <c r="V109" s="17">
        <v>0.2</v>
      </c>
      <c r="W109" s="17">
        <v>1</v>
      </c>
      <c r="X109" s="17">
        <v>0.04</v>
      </c>
    </row>
    <row r="111" spans="18:24" x14ac:dyDescent="0.25">
      <c r="R111" s="17" t="s">
        <v>118</v>
      </c>
      <c r="S111" s="17">
        <v>10.33</v>
      </c>
      <c r="T111" s="17" t="s">
        <v>101</v>
      </c>
      <c r="U111" s="17" t="s">
        <v>99</v>
      </c>
      <c r="V111" s="17">
        <v>0.5</v>
      </c>
      <c r="W111" s="17">
        <v>1</v>
      </c>
      <c r="X111" s="17">
        <v>7.0000000000000007E-2</v>
      </c>
    </row>
    <row r="112" spans="18:24" x14ac:dyDescent="0.25">
      <c r="R112" s="17" t="s">
        <v>120</v>
      </c>
      <c r="S112" s="17">
        <v>7.44</v>
      </c>
      <c r="T112" s="17" t="s">
        <v>101</v>
      </c>
      <c r="U112" s="17" t="s">
        <v>99</v>
      </c>
      <c r="V112" s="17">
        <v>0.1</v>
      </c>
      <c r="W112" s="17">
        <v>1</v>
      </c>
      <c r="X112" s="17">
        <v>0.1</v>
      </c>
    </row>
    <row r="113" spans="18:24" x14ac:dyDescent="0.25">
      <c r="R113" s="17" t="s">
        <v>190</v>
      </c>
      <c r="V113" s="17">
        <v>1.9</v>
      </c>
      <c r="W113" s="17">
        <v>0.6</v>
      </c>
      <c r="X113" s="17">
        <v>0.109</v>
      </c>
    </row>
    <row r="114" spans="18:24" x14ac:dyDescent="0.25">
      <c r="R114" s="17" t="s">
        <v>189</v>
      </c>
      <c r="V114" s="17">
        <v>0</v>
      </c>
      <c r="W114" s="17">
        <v>1</v>
      </c>
      <c r="X114" s="17">
        <v>0</v>
      </c>
    </row>
    <row r="115" spans="18:24" x14ac:dyDescent="0.25">
      <c r="R115" s="17" t="s">
        <v>68</v>
      </c>
      <c r="V115" s="17">
        <v>0</v>
      </c>
      <c r="W115" s="17">
        <v>1</v>
      </c>
      <c r="X115" s="17">
        <v>0</v>
      </c>
    </row>
    <row r="117" spans="18:24" x14ac:dyDescent="0.25">
      <c r="R117" s="17" t="s">
        <v>103</v>
      </c>
      <c r="S117" s="17">
        <v>12.65</v>
      </c>
      <c r="T117" s="17" t="s">
        <v>101</v>
      </c>
      <c r="U117" s="17" t="s">
        <v>99</v>
      </c>
      <c r="V117" s="17">
        <v>1.1000000000000001</v>
      </c>
      <c r="W117" s="17">
        <v>0</v>
      </c>
      <c r="X117" s="17">
        <v>0.22700000000000001</v>
      </c>
    </row>
    <row r="118" spans="18:24" x14ac:dyDescent="0.25">
      <c r="R118" s="17" t="s">
        <v>38</v>
      </c>
      <c r="V118" s="17">
        <v>0</v>
      </c>
      <c r="W118" s="17">
        <v>1</v>
      </c>
      <c r="X118" s="17">
        <v>0</v>
      </c>
    </row>
  </sheetData>
  <mergeCells count="64">
    <mergeCell ref="D65:J65"/>
    <mergeCell ref="D66:J66"/>
    <mergeCell ref="D67:J67"/>
    <mergeCell ref="B65:C66"/>
    <mergeCell ref="O5:O6"/>
    <mergeCell ref="K5:L5"/>
    <mergeCell ref="K6:L6"/>
    <mergeCell ref="J38:J40"/>
    <mergeCell ref="B5:H5"/>
    <mergeCell ref="I5:J5"/>
    <mergeCell ref="B6:H6"/>
    <mergeCell ref="I6:J6"/>
    <mergeCell ref="B8:O8"/>
    <mergeCell ref="B9:B11"/>
    <mergeCell ref="C9:C10"/>
    <mergeCell ref="D9:D11"/>
    <mergeCell ref="I9:I11"/>
    <mergeCell ref="E9:G9"/>
    <mergeCell ref="K9:K10"/>
    <mergeCell ref="B1:O1"/>
    <mergeCell ref="B3:H3"/>
    <mergeCell ref="B4:H4"/>
    <mergeCell ref="I3:O3"/>
    <mergeCell ref="I4:O4"/>
    <mergeCell ref="L9:O9"/>
    <mergeCell ref="B63:O63"/>
    <mergeCell ref="B37:O37"/>
    <mergeCell ref="B42:B48"/>
    <mergeCell ref="C42:C48"/>
    <mergeCell ref="B49:B55"/>
    <mergeCell ref="C49:C55"/>
    <mergeCell ref="B38:B40"/>
    <mergeCell ref="C38:C39"/>
    <mergeCell ref="D38:D40"/>
    <mergeCell ref="E38:G38"/>
    <mergeCell ref="B58:B59"/>
    <mergeCell ref="C58:C59"/>
    <mergeCell ref="H38:H40"/>
    <mergeCell ref="H9:H11"/>
    <mergeCell ref="J9:J11"/>
    <mergeCell ref="B60:F60"/>
    <mergeCell ref="I38:I40"/>
    <mergeCell ref="D32:D34"/>
    <mergeCell ref="E33:F33"/>
    <mergeCell ref="E32:F32"/>
    <mergeCell ref="E34:F34"/>
    <mergeCell ref="E35:F35"/>
    <mergeCell ref="I34:I35"/>
    <mergeCell ref="B69:O71"/>
    <mergeCell ref="D68:J68"/>
    <mergeCell ref="B67:C68"/>
    <mergeCell ref="R13:S13"/>
    <mergeCell ref="L38:O38"/>
    <mergeCell ref="B29:B30"/>
    <mergeCell ref="C29:C30"/>
    <mergeCell ref="K38:K39"/>
    <mergeCell ref="K33:K34"/>
    <mergeCell ref="B13:B19"/>
    <mergeCell ref="C13:C19"/>
    <mergeCell ref="B20:B26"/>
    <mergeCell ref="C20:C26"/>
    <mergeCell ref="E62:F62"/>
    <mergeCell ref="B61:F61"/>
    <mergeCell ref="B31:F31"/>
  </mergeCells>
  <phoneticPr fontId="43" type="noConversion"/>
  <conditionalFormatting sqref="J5">
    <cfRule type="cellIs" dxfId="6" priority="15" operator="lessThan">
      <formula>0</formula>
    </cfRule>
  </conditionalFormatting>
  <conditionalFormatting sqref="J6">
    <cfRule type="cellIs" dxfId="5" priority="14" operator="lessThan">
      <formula>0</formula>
    </cfRule>
  </conditionalFormatting>
  <conditionalFormatting sqref="I5">
    <cfRule type="cellIs" dxfId="4" priority="11" operator="lessThan">
      <formula>0</formula>
    </cfRule>
  </conditionalFormatting>
  <conditionalFormatting sqref="I6">
    <cfRule type="cellIs" dxfId="3" priority="10" operator="lessThan">
      <formula>0</formula>
    </cfRule>
  </conditionalFormatting>
  <dataValidations count="1">
    <dataValidation type="list" allowBlank="1" showInputMessage="1" showErrorMessage="1" sqref="D13:D15 D59 D20:D22 D42:D44 D49:D51 D30" xr:uid="{00000000-0002-0000-0300-000000000000}">
      <formula1>$R$17:$R$28</formula1>
    </dataValidation>
  </dataValidations>
  <printOptions horizontalCentered="1"/>
  <pageMargins left="0.31496062992125984" right="0.31496062992125984" top="0.55118110236220474" bottom="0.15748031496062992" header="0.31496062992125984" footer="0.31496062992125984"/>
  <pageSetup paperSize="9" scale="66" orientation="portrait" horizontalDpi="1200" verticalDpi="1200" r:id="rId1"/>
  <headerFooter>
    <oddFooter>&amp;R&amp;A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2:F26"/>
  <sheetViews>
    <sheetView topLeftCell="A8" workbookViewId="0">
      <selection activeCell="C44" sqref="C44"/>
    </sheetView>
  </sheetViews>
  <sheetFormatPr defaultColWidth="8.88671875" defaultRowHeight="13.8" x14ac:dyDescent="0.25"/>
  <cols>
    <col min="1" max="1" width="6.5546875" style="167" bestFit="1" customWidth="1"/>
    <col min="2" max="2" width="39.88671875" style="167" customWidth="1"/>
    <col min="3" max="4" width="8.77734375" style="167" customWidth="1"/>
    <col min="5" max="5" width="17.5546875" style="167" customWidth="1"/>
    <col min="6" max="6" width="17.109375" style="167" customWidth="1"/>
    <col min="7" max="16384" width="8.88671875" style="167"/>
  </cols>
  <sheetData>
    <row r="2" spans="1:6" ht="51.6" customHeight="1" x14ac:dyDescent="0.25">
      <c r="A2" s="590" t="s">
        <v>369</v>
      </c>
      <c r="B2" s="590"/>
      <c r="C2" s="590"/>
      <c r="D2" s="590"/>
      <c r="E2" s="590"/>
      <c r="F2" s="590"/>
    </row>
    <row r="3" spans="1:6" ht="17.399999999999999" x14ac:dyDescent="0.25">
      <c r="A3" s="168"/>
      <c r="B3" s="168"/>
      <c r="C3" s="168"/>
      <c r="D3" s="168"/>
      <c r="E3" s="617" t="s">
        <v>164</v>
      </c>
      <c r="F3" s="617"/>
    </row>
    <row r="4" spans="1:6" x14ac:dyDescent="0.25">
      <c r="A4" s="594" t="s">
        <v>370</v>
      </c>
      <c r="B4" s="595"/>
      <c r="C4" s="595"/>
      <c r="D4" s="595"/>
      <c r="E4" s="595"/>
      <c r="F4" s="596"/>
    </row>
    <row r="5" spans="1:6" ht="16.2" x14ac:dyDescent="0.25">
      <c r="A5" s="169" t="s">
        <v>76</v>
      </c>
      <c r="B5" s="169" t="s">
        <v>75</v>
      </c>
      <c r="C5" s="169" t="s">
        <v>173</v>
      </c>
      <c r="D5" s="169" t="s">
        <v>174</v>
      </c>
      <c r="E5" s="169" t="s">
        <v>175</v>
      </c>
      <c r="F5" s="169" t="s">
        <v>163</v>
      </c>
    </row>
    <row r="6" spans="1:6" x14ac:dyDescent="0.25">
      <c r="A6" s="591" t="s">
        <v>65</v>
      </c>
      <c r="B6" s="605" t="s">
        <v>176</v>
      </c>
      <c r="C6" s="606"/>
      <c r="D6" s="606"/>
      <c r="E6" s="606"/>
      <c r="F6" s="607"/>
    </row>
    <row r="7" spans="1:6" x14ac:dyDescent="0.25">
      <c r="A7" s="592"/>
      <c r="B7" s="170" t="s">
        <v>93</v>
      </c>
      <c r="C7" s="171">
        <v>0.1</v>
      </c>
      <c r="D7" s="171">
        <v>0.6</v>
      </c>
      <c r="E7" s="172">
        <v>0.7</v>
      </c>
      <c r="F7" s="173"/>
    </row>
    <row r="8" spans="1:6" x14ac:dyDescent="0.25">
      <c r="A8" s="593"/>
      <c r="B8" s="174" t="s">
        <v>94</v>
      </c>
      <c r="C8" s="171">
        <v>0.7</v>
      </c>
      <c r="D8" s="175">
        <v>0</v>
      </c>
      <c r="E8" s="172">
        <v>0.7</v>
      </c>
      <c r="F8" s="173"/>
    </row>
    <row r="9" spans="1:6" x14ac:dyDescent="0.25">
      <c r="A9" s="591" t="s">
        <v>162</v>
      </c>
      <c r="B9" s="176" t="s">
        <v>177</v>
      </c>
      <c r="C9" s="176"/>
      <c r="D9" s="176"/>
      <c r="E9" s="176"/>
      <c r="F9" s="177"/>
    </row>
    <row r="10" spans="1:6" x14ac:dyDescent="0.25">
      <c r="A10" s="592"/>
      <c r="B10" s="170" t="s">
        <v>95</v>
      </c>
      <c r="C10" s="171">
        <v>0.2</v>
      </c>
      <c r="D10" s="171">
        <v>1.1000000000000001</v>
      </c>
      <c r="E10" s="172">
        <v>1.3</v>
      </c>
      <c r="F10" s="173" t="str">
        <f>'1.lapa_Patēriņš'!O15</f>
        <v/>
      </c>
    </row>
    <row r="11" spans="1:6" x14ac:dyDescent="0.25">
      <c r="A11" s="593"/>
      <c r="B11" s="174" t="s">
        <v>96</v>
      </c>
      <c r="C11" s="171">
        <v>1.3</v>
      </c>
      <c r="D11" s="171">
        <v>0</v>
      </c>
      <c r="E11" s="172">
        <v>1.3</v>
      </c>
      <c r="F11" s="173"/>
    </row>
    <row r="12" spans="1:6" x14ac:dyDescent="0.25">
      <c r="A12" s="608" t="s">
        <v>165</v>
      </c>
      <c r="B12" s="609"/>
      <c r="C12" s="609"/>
      <c r="D12" s="609"/>
      <c r="E12" s="610"/>
      <c r="F12" s="171">
        <f>SUM(F7:F11)</f>
        <v>0</v>
      </c>
    </row>
    <row r="13" spans="1:6" ht="34.200000000000003" customHeight="1" x14ac:dyDescent="0.25">
      <c r="A13" s="615" t="s">
        <v>178</v>
      </c>
      <c r="B13" s="616"/>
      <c r="C13" s="178">
        <f>ROUND(IF(F12=0,0,(C7*F7+C8*F8+C10*F10+C11*F11)/F12),4)</f>
        <v>0</v>
      </c>
      <c r="D13" s="178">
        <f>ROUND(IF(F12=0,0,(D7*F7+D8*F8+D10*F10+D11*F11)/F12),4)</f>
        <v>0</v>
      </c>
      <c r="E13" s="597">
        <f>ROUND(IF(F12=0,0,(E7*F7+E8*F8+E10*F10+E11*F11)/F12),4)</f>
        <v>0</v>
      </c>
      <c r="F13" s="598"/>
    </row>
    <row r="14" spans="1:6" s="181" customFormat="1" ht="20.399999999999999" x14ac:dyDescent="0.25">
      <c r="A14" s="179"/>
      <c r="B14" s="179"/>
      <c r="C14" s="179"/>
      <c r="D14" s="179"/>
      <c r="E14" s="180"/>
      <c r="F14" s="180"/>
    </row>
    <row r="15" spans="1:6" ht="16.2" x14ac:dyDescent="0.35">
      <c r="A15" s="594" t="s">
        <v>371</v>
      </c>
      <c r="B15" s="595"/>
      <c r="C15" s="595"/>
      <c r="D15" s="595"/>
      <c r="E15" s="595"/>
      <c r="F15" s="596"/>
    </row>
    <row r="16" spans="1:6" ht="16.2" x14ac:dyDescent="0.25">
      <c r="A16" s="169" t="s">
        <v>76</v>
      </c>
      <c r="B16" s="611" t="s">
        <v>75</v>
      </c>
      <c r="C16" s="612"/>
      <c r="D16" s="613"/>
      <c r="E16" s="182" t="s">
        <v>179</v>
      </c>
      <c r="F16" s="169" t="s">
        <v>163</v>
      </c>
    </row>
    <row r="17" spans="1:6" x14ac:dyDescent="0.25">
      <c r="A17" s="591" t="s">
        <v>65</v>
      </c>
      <c r="B17" s="605" t="s">
        <v>176</v>
      </c>
      <c r="C17" s="606"/>
      <c r="D17" s="606"/>
      <c r="E17" s="606"/>
      <c r="F17" s="607"/>
    </row>
    <row r="18" spans="1:6" x14ac:dyDescent="0.25">
      <c r="A18" s="592"/>
      <c r="B18" s="599" t="s">
        <v>93</v>
      </c>
      <c r="C18" s="600"/>
      <c r="D18" s="601"/>
      <c r="E18" s="183">
        <v>2.5000000000000001E-2</v>
      </c>
      <c r="F18" s="171">
        <f>F7</f>
        <v>0</v>
      </c>
    </row>
    <row r="19" spans="1:6" x14ac:dyDescent="0.25">
      <c r="A19" s="593"/>
      <c r="B19" s="602" t="s">
        <v>94</v>
      </c>
      <c r="C19" s="603"/>
      <c r="D19" s="604"/>
      <c r="E19" s="183">
        <v>0.185</v>
      </c>
      <c r="F19" s="171">
        <f>F8</f>
        <v>0</v>
      </c>
    </row>
    <row r="20" spans="1:6" x14ac:dyDescent="0.25">
      <c r="A20" s="591" t="s">
        <v>162</v>
      </c>
      <c r="B20" s="605" t="s">
        <v>177</v>
      </c>
      <c r="C20" s="606"/>
      <c r="D20" s="606"/>
      <c r="E20" s="176"/>
      <c r="F20" s="177"/>
    </row>
    <row r="21" spans="1:6" x14ac:dyDescent="0.25">
      <c r="A21" s="592"/>
      <c r="B21" s="599" t="s">
        <v>95</v>
      </c>
      <c r="C21" s="600"/>
      <c r="D21" s="601"/>
      <c r="E21" s="183">
        <v>0.05</v>
      </c>
      <c r="F21" s="171" t="str">
        <f>F10</f>
        <v/>
      </c>
    </row>
    <row r="22" spans="1:6" x14ac:dyDescent="0.25">
      <c r="A22" s="593"/>
      <c r="B22" s="602" t="s">
        <v>96</v>
      </c>
      <c r="C22" s="603"/>
      <c r="D22" s="604"/>
      <c r="E22" s="183">
        <v>0.26400000000000001</v>
      </c>
      <c r="F22" s="171">
        <f>F11</f>
        <v>0</v>
      </c>
    </row>
    <row r="23" spans="1:6" x14ac:dyDescent="0.25">
      <c r="A23" s="608" t="s">
        <v>165</v>
      </c>
      <c r="B23" s="609"/>
      <c r="C23" s="609"/>
      <c r="D23" s="609"/>
      <c r="E23" s="610"/>
      <c r="F23" s="171">
        <f>SUM(F18:F22)</f>
        <v>0</v>
      </c>
    </row>
    <row r="24" spans="1:6" ht="60" customHeight="1" x14ac:dyDescent="0.25">
      <c r="A24" s="618" t="s">
        <v>182</v>
      </c>
      <c r="B24" s="619"/>
      <c r="C24" s="619"/>
      <c r="D24" s="620"/>
      <c r="E24" s="597">
        <f>ROUND(IF(F23=0,0,(E18*F18+E19*F19+E21*F21+E22*F22)/F23),4)</f>
        <v>0</v>
      </c>
      <c r="F24" s="598"/>
    </row>
    <row r="25" spans="1:6" ht="31.5" customHeight="1" x14ac:dyDescent="0.25">
      <c r="A25" s="614" t="s">
        <v>171</v>
      </c>
      <c r="B25" s="614"/>
      <c r="C25" s="614"/>
      <c r="D25" s="614"/>
      <c r="E25" s="614"/>
      <c r="F25" s="614"/>
    </row>
    <row r="26" spans="1:6" ht="34.200000000000003" customHeight="1" x14ac:dyDescent="0.25"/>
  </sheetData>
  <mergeCells count="23">
    <mergeCell ref="A25:F25"/>
    <mergeCell ref="A12:E12"/>
    <mergeCell ref="A13:B13"/>
    <mergeCell ref="E13:F13"/>
    <mergeCell ref="E3:F3"/>
    <mergeCell ref="A24:D24"/>
    <mergeCell ref="B6:F6"/>
    <mergeCell ref="A2:F2"/>
    <mergeCell ref="A6:A8"/>
    <mergeCell ref="A9:A11"/>
    <mergeCell ref="A4:F4"/>
    <mergeCell ref="E24:F24"/>
    <mergeCell ref="B18:D18"/>
    <mergeCell ref="B19:D19"/>
    <mergeCell ref="B21:D21"/>
    <mergeCell ref="B22:D22"/>
    <mergeCell ref="B20:D20"/>
    <mergeCell ref="A15:F15"/>
    <mergeCell ref="A17:A19"/>
    <mergeCell ref="B17:F17"/>
    <mergeCell ref="A20:A22"/>
    <mergeCell ref="A23:E23"/>
    <mergeCell ref="B16:D16"/>
  </mergeCells>
  <printOptions horizontalCentered="1"/>
  <pageMargins left="0.11811023622047245" right="0.11811023622047245" top="0.74803149606299213" bottom="0.74803149606299213" header="0.31496062992125984" footer="0.31496062992125984"/>
  <pageSetup paperSize="9" orientation="portrait" horizontalDpi="1200" verticalDpi="1200" r:id="rId1"/>
  <headerFooter>
    <oddFooter>&amp;R&amp;A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00"/>
    <pageSetUpPr fitToPage="1"/>
  </sheetPr>
  <dimension ref="A1:M152"/>
  <sheetViews>
    <sheetView zoomScale="80" zoomScaleNormal="80" workbookViewId="0">
      <selection activeCell="H14" sqref="H14"/>
    </sheetView>
  </sheetViews>
  <sheetFormatPr defaultColWidth="9.109375" defaultRowHeight="15.6" x14ac:dyDescent="0.3"/>
  <cols>
    <col min="1" max="1" width="19.109375" style="5" customWidth="1"/>
    <col min="2" max="2" width="16.109375" style="5" customWidth="1"/>
    <col min="3" max="3" width="11.33203125" style="9" bestFit="1" customWidth="1"/>
    <col min="4" max="4" width="20.33203125" style="5" customWidth="1"/>
    <col min="5" max="5" width="20" style="5" customWidth="1"/>
    <col min="6" max="6" width="18.5546875" style="10" customWidth="1"/>
    <col min="7" max="7" width="26.6640625" style="5" customWidth="1"/>
    <col min="8" max="8" width="24.44140625" style="5" customWidth="1"/>
    <col min="9" max="9" width="18" style="5" customWidth="1"/>
    <col min="10" max="10" width="19.33203125" style="5" customWidth="1"/>
    <col min="11" max="12" width="22.5546875" style="5" customWidth="1"/>
    <col min="13" max="13" width="20.109375" style="5" customWidth="1"/>
    <col min="14" max="16384" width="9.109375" style="5"/>
  </cols>
  <sheetData>
    <row r="1" spans="1:13" s="4" customFormat="1" ht="148.5" customHeight="1" thickBot="1" x14ac:dyDescent="0.35">
      <c r="A1" s="1" t="s">
        <v>78</v>
      </c>
      <c r="B1" s="11" t="s">
        <v>79</v>
      </c>
      <c r="C1" s="12" t="s">
        <v>80</v>
      </c>
      <c r="D1" s="13" t="s">
        <v>81</v>
      </c>
      <c r="E1" s="13" t="s">
        <v>82</v>
      </c>
      <c r="F1" s="14" t="s">
        <v>83</v>
      </c>
      <c r="G1" s="15" t="s">
        <v>84</v>
      </c>
      <c r="H1" s="15" t="s">
        <v>85</v>
      </c>
      <c r="I1" s="16" t="s">
        <v>86</v>
      </c>
      <c r="J1" s="13" t="s">
        <v>87</v>
      </c>
      <c r="K1" s="13" t="s">
        <v>88</v>
      </c>
      <c r="L1" s="2" t="s">
        <v>89</v>
      </c>
      <c r="M1" s="3" t="s">
        <v>90</v>
      </c>
    </row>
    <row r="2" spans="1:13" ht="31.8" thickBot="1" x14ac:dyDescent="0.35">
      <c r="A2" s="156" t="s">
        <v>91</v>
      </c>
      <c r="B2" s="157" t="s">
        <v>92</v>
      </c>
      <c r="C2" s="158">
        <v>0</v>
      </c>
      <c r="D2" s="159">
        <f>'5.lapa_Energoefektivitate'!I5</f>
        <v>0</v>
      </c>
      <c r="E2" s="159">
        <f>'5.lapa_Energoefektivitate'!I6</f>
        <v>0</v>
      </c>
      <c r="F2" s="160">
        <f>G2+H2</f>
        <v>0</v>
      </c>
      <c r="G2" s="161">
        <v>0</v>
      </c>
      <c r="H2" s="161">
        <v>0</v>
      </c>
      <c r="I2" s="162" t="e">
        <f>ROUND((4/(C2/D2))+(15848/(C2/E2))+F2,6)</f>
        <v>#DIV/0!</v>
      </c>
      <c r="J2" s="163">
        <v>0</v>
      </c>
      <c r="K2" s="163">
        <v>0</v>
      </c>
      <c r="L2" s="163">
        <v>0</v>
      </c>
      <c r="M2" s="164" t="e">
        <f>I2+J2+K2+L2</f>
        <v>#DIV/0!</v>
      </c>
    </row>
    <row r="3" spans="1:13" x14ac:dyDescent="0.3">
      <c r="C3" s="6"/>
      <c r="D3" s="155" t="e">
        <f>C2/D2</f>
        <v>#DIV/0!</v>
      </c>
      <c r="E3" s="165" t="e">
        <f>C2/E2</f>
        <v>#DIV/0!</v>
      </c>
      <c r="F3" s="6"/>
      <c r="G3" s="7"/>
      <c r="H3" s="7"/>
      <c r="I3" s="7"/>
      <c r="J3" s="8"/>
      <c r="K3" s="8"/>
      <c r="L3" s="8"/>
      <c r="M3" s="7"/>
    </row>
    <row r="4" spans="1:13" x14ac:dyDescent="0.3">
      <c r="C4" s="6"/>
      <c r="D4" s="7"/>
      <c r="E4" s="7"/>
      <c r="F4" s="6"/>
      <c r="G4" s="7"/>
      <c r="H4" s="7"/>
      <c r="I4" s="7"/>
      <c r="J4" s="8"/>
      <c r="K4" s="8"/>
      <c r="L4" s="8"/>
      <c r="M4" s="7"/>
    </row>
    <row r="5" spans="1:13" x14ac:dyDescent="0.3">
      <c r="C5" s="6"/>
      <c r="D5" s="153" t="s">
        <v>172</v>
      </c>
      <c r="E5" s="7"/>
      <c r="F5" s="6"/>
      <c r="G5" s="7"/>
      <c r="H5" s="7"/>
      <c r="I5" s="7"/>
      <c r="J5" s="8"/>
      <c r="K5" s="8"/>
      <c r="L5" s="8"/>
      <c r="M5" s="7"/>
    </row>
    <row r="6" spans="1:13" x14ac:dyDescent="0.3">
      <c r="C6" s="6"/>
      <c r="D6" s="154" t="e">
        <f>IF(D3&gt;4,"NĒ","Jā")</f>
        <v>#DIV/0!</v>
      </c>
      <c r="E6" s="7"/>
      <c r="F6" s="6"/>
      <c r="G6" s="7"/>
      <c r="H6" s="7"/>
      <c r="I6" s="7"/>
      <c r="J6" s="8"/>
      <c r="K6" s="8"/>
      <c r="L6" s="8"/>
      <c r="M6" s="7"/>
    </row>
    <row r="7" spans="1:13" x14ac:dyDescent="0.3">
      <c r="C7" s="6"/>
      <c r="D7" s="7"/>
      <c r="E7" s="7"/>
      <c r="F7" s="6"/>
      <c r="G7" s="7"/>
      <c r="H7" s="7"/>
      <c r="I7" s="7"/>
      <c r="J7" s="8"/>
      <c r="K7" s="8"/>
      <c r="L7" s="8"/>
      <c r="M7" s="7"/>
    </row>
    <row r="8" spans="1:13" x14ac:dyDescent="0.3">
      <c r="C8" s="6"/>
      <c r="D8" s="7"/>
      <c r="E8" s="7"/>
      <c r="F8" s="6"/>
      <c r="G8" s="7"/>
      <c r="H8" s="7"/>
      <c r="I8" s="7"/>
      <c r="J8" s="8"/>
      <c r="K8" s="8"/>
      <c r="L8" s="8"/>
      <c r="M8" s="7"/>
    </row>
    <row r="9" spans="1:13" x14ac:dyDescent="0.3">
      <c r="C9" s="6"/>
      <c r="D9" s="7"/>
      <c r="E9" s="7"/>
      <c r="F9" s="6"/>
      <c r="G9" s="7"/>
      <c r="H9" s="7"/>
      <c r="I9" s="7"/>
      <c r="J9" s="8"/>
      <c r="K9" s="8"/>
      <c r="L9" s="8"/>
      <c r="M9" s="7"/>
    </row>
    <row r="10" spans="1:13" x14ac:dyDescent="0.3">
      <c r="C10" s="6"/>
      <c r="D10" s="7"/>
      <c r="E10" s="7"/>
      <c r="F10" s="6"/>
      <c r="G10" s="7"/>
      <c r="H10" s="7"/>
      <c r="I10" s="7"/>
      <c r="J10" s="8"/>
      <c r="K10" s="8"/>
      <c r="L10" s="8"/>
      <c r="M10" s="7"/>
    </row>
    <row r="11" spans="1:13" x14ac:dyDescent="0.3">
      <c r="C11" s="6"/>
      <c r="D11" s="7"/>
      <c r="E11" s="7"/>
      <c r="F11" s="6"/>
      <c r="G11" s="7"/>
      <c r="H11" s="7"/>
      <c r="I11" s="7"/>
      <c r="J11" s="8"/>
      <c r="K11" s="8"/>
      <c r="L11" s="8"/>
      <c r="M11" s="7"/>
    </row>
    <row r="12" spans="1:13" x14ac:dyDescent="0.3">
      <c r="C12" s="6"/>
      <c r="D12" s="7"/>
      <c r="E12" s="7"/>
      <c r="F12" s="6"/>
      <c r="G12" s="7"/>
      <c r="H12" s="7"/>
      <c r="I12" s="7"/>
      <c r="J12" s="8"/>
      <c r="K12" s="8"/>
      <c r="L12" s="8"/>
      <c r="M12" s="7"/>
    </row>
    <row r="13" spans="1:13" x14ac:dyDescent="0.3">
      <c r="C13" s="6"/>
      <c r="D13" s="7"/>
      <c r="E13" s="7"/>
      <c r="F13" s="6"/>
      <c r="G13" s="7"/>
      <c r="H13" s="7"/>
      <c r="I13" s="7"/>
      <c r="J13" s="8"/>
      <c r="K13" s="8"/>
      <c r="L13" s="8"/>
      <c r="M13" s="7"/>
    </row>
    <row r="14" spans="1:13" x14ac:dyDescent="0.3">
      <c r="C14" s="6"/>
      <c r="D14" s="7"/>
      <c r="E14" s="7"/>
      <c r="F14" s="6"/>
      <c r="G14" s="7"/>
      <c r="H14" s="7"/>
      <c r="I14" s="7"/>
      <c r="J14" s="8"/>
      <c r="K14" s="8"/>
      <c r="L14" s="8"/>
      <c r="M14" s="7"/>
    </row>
    <row r="15" spans="1:13" x14ac:dyDescent="0.3">
      <c r="C15" s="6"/>
      <c r="D15" s="7"/>
      <c r="E15" s="7"/>
      <c r="F15" s="6"/>
      <c r="G15" s="7"/>
      <c r="H15" s="7"/>
      <c r="I15" s="7"/>
      <c r="J15" s="8"/>
      <c r="K15" s="8"/>
      <c r="L15" s="8"/>
      <c r="M15" s="7"/>
    </row>
    <row r="16" spans="1:13" x14ac:dyDescent="0.3">
      <c r="C16" s="6"/>
      <c r="D16" s="7"/>
      <c r="E16" s="7"/>
      <c r="F16" s="6"/>
      <c r="G16" s="7"/>
      <c r="H16" s="7"/>
      <c r="I16" s="7"/>
      <c r="J16" s="8"/>
      <c r="K16" s="8"/>
      <c r="L16" s="8"/>
      <c r="M16" s="7"/>
    </row>
    <row r="17" spans="3:13" x14ac:dyDescent="0.3">
      <c r="C17" s="6"/>
      <c r="D17" s="7"/>
      <c r="E17" s="7"/>
      <c r="F17" s="6"/>
      <c r="G17" s="7"/>
      <c r="H17" s="7"/>
      <c r="I17" s="7"/>
      <c r="J17" s="8"/>
      <c r="K17" s="8"/>
      <c r="L17" s="8"/>
      <c r="M17" s="7"/>
    </row>
    <row r="18" spans="3:13" x14ac:dyDescent="0.3">
      <c r="C18" s="6"/>
      <c r="D18" s="7"/>
      <c r="E18" s="7"/>
      <c r="F18" s="6"/>
      <c r="G18" s="7"/>
      <c r="H18" s="7"/>
      <c r="I18" s="7"/>
      <c r="J18" s="8"/>
      <c r="K18" s="8"/>
      <c r="L18" s="8"/>
      <c r="M18" s="7"/>
    </row>
    <row r="19" spans="3:13" x14ac:dyDescent="0.3">
      <c r="C19" s="6"/>
      <c r="D19" s="7"/>
      <c r="E19" s="7"/>
      <c r="F19" s="6"/>
      <c r="G19" s="7"/>
      <c r="H19" s="7"/>
      <c r="I19" s="7"/>
      <c r="J19" s="8"/>
      <c r="K19" s="8"/>
      <c r="L19" s="8"/>
      <c r="M19" s="7"/>
    </row>
    <row r="20" spans="3:13" x14ac:dyDescent="0.3">
      <c r="C20" s="6"/>
      <c r="D20" s="7"/>
      <c r="E20" s="7"/>
      <c r="F20" s="6"/>
      <c r="G20" s="7"/>
      <c r="H20" s="7"/>
      <c r="I20" s="7"/>
      <c r="J20" s="8"/>
      <c r="K20" s="8"/>
      <c r="L20" s="8"/>
      <c r="M20" s="7"/>
    </row>
    <row r="21" spans="3:13" x14ac:dyDescent="0.3">
      <c r="C21" s="6"/>
      <c r="D21" s="7"/>
      <c r="E21" s="7"/>
      <c r="F21" s="6"/>
      <c r="G21" s="7"/>
      <c r="H21" s="7"/>
      <c r="I21" s="7"/>
      <c r="J21" s="8"/>
      <c r="K21" s="8"/>
      <c r="L21" s="8"/>
      <c r="M21" s="7"/>
    </row>
    <row r="22" spans="3:13" x14ac:dyDescent="0.3">
      <c r="C22" s="6"/>
      <c r="D22" s="7"/>
      <c r="E22" s="7"/>
      <c r="F22" s="6"/>
      <c r="G22" s="7"/>
      <c r="H22" s="7"/>
      <c r="I22" s="7"/>
      <c r="J22" s="8"/>
      <c r="K22" s="8"/>
      <c r="L22" s="8"/>
      <c r="M22" s="7"/>
    </row>
    <row r="23" spans="3:13" x14ac:dyDescent="0.3">
      <c r="C23" s="6"/>
      <c r="D23" s="7"/>
      <c r="E23" s="7"/>
      <c r="F23" s="6"/>
      <c r="G23" s="7"/>
      <c r="H23" s="7"/>
      <c r="I23" s="7"/>
      <c r="J23" s="8"/>
      <c r="K23" s="8"/>
      <c r="L23" s="8"/>
      <c r="M23" s="7"/>
    </row>
    <row r="24" spans="3:13" x14ac:dyDescent="0.3">
      <c r="C24" s="6"/>
      <c r="D24" s="7"/>
      <c r="E24" s="7"/>
      <c r="F24" s="6"/>
      <c r="G24" s="7"/>
      <c r="H24" s="7"/>
      <c r="I24" s="7"/>
      <c r="J24" s="8"/>
      <c r="K24" s="8"/>
      <c r="L24" s="8"/>
      <c r="M24" s="7"/>
    </row>
    <row r="25" spans="3:13" x14ac:dyDescent="0.3">
      <c r="C25" s="6"/>
      <c r="D25" s="7"/>
      <c r="E25" s="7"/>
      <c r="F25" s="6"/>
      <c r="G25" s="7"/>
      <c r="H25" s="7"/>
      <c r="I25" s="7"/>
      <c r="J25" s="8"/>
      <c r="K25" s="8"/>
      <c r="L25" s="8"/>
      <c r="M25" s="7"/>
    </row>
    <row r="26" spans="3:13" x14ac:dyDescent="0.3">
      <c r="C26" s="6"/>
      <c r="D26" s="7"/>
      <c r="E26" s="7"/>
      <c r="F26" s="6"/>
      <c r="G26" s="7"/>
      <c r="H26" s="7"/>
      <c r="I26" s="7"/>
      <c r="J26" s="8"/>
      <c r="K26" s="8"/>
      <c r="L26" s="8"/>
      <c r="M26" s="7"/>
    </row>
    <row r="27" spans="3:13" x14ac:dyDescent="0.3">
      <c r="C27" s="6"/>
      <c r="D27" s="7"/>
      <c r="E27" s="7"/>
      <c r="F27" s="6"/>
      <c r="G27" s="7"/>
      <c r="H27" s="7"/>
      <c r="I27" s="7"/>
      <c r="J27" s="8"/>
      <c r="K27" s="8"/>
      <c r="L27" s="8"/>
      <c r="M27" s="7"/>
    </row>
    <row r="28" spans="3:13" x14ac:dyDescent="0.3">
      <c r="C28" s="6"/>
      <c r="D28" s="7"/>
      <c r="E28" s="7"/>
      <c r="F28" s="6"/>
      <c r="G28" s="7"/>
      <c r="H28" s="7"/>
      <c r="I28" s="7"/>
      <c r="J28" s="8"/>
      <c r="K28" s="8"/>
      <c r="L28" s="8"/>
      <c r="M28" s="7"/>
    </row>
    <row r="29" spans="3:13" x14ac:dyDescent="0.3">
      <c r="C29" s="6"/>
      <c r="D29" s="7"/>
      <c r="E29" s="7"/>
      <c r="F29" s="6"/>
      <c r="G29" s="7"/>
      <c r="H29" s="7"/>
      <c r="I29" s="7"/>
      <c r="J29" s="8"/>
      <c r="K29" s="8"/>
      <c r="L29" s="8"/>
      <c r="M29" s="7"/>
    </row>
    <row r="30" spans="3:13" x14ac:dyDescent="0.3">
      <c r="C30" s="6"/>
      <c r="D30" s="7"/>
      <c r="E30" s="7"/>
      <c r="F30" s="6"/>
      <c r="G30" s="7"/>
      <c r="H30" s="7"/>
      <c r="I30" s="7"/>
      <c r="J30" s="8"/>
      <c r="K30" s="8"/>
      <c r="L30" s="8"/>
      <c r="M30" s="7"/>
    </row>
    <row r="31" spans="3:13" x14ac:dyDescent="0.3">
      <c r="C31" s="6"/>
      <c r="D31" s="7"/>
      <c r="E31" s="7"/>
      <c r="F31" s="6"/>
      <c r="G31" s="7"/>
      <c r="H31" s="7"/>
      <c r="I31" s="7"/>
      <c r="J31" s="8"/>
      <c r="K31" s="8"/>
      <c r="L31" s="8"/>
      <c r="M31" s="7"/>
    </row>
    <row r="32" spans="3:13" x14ac:dyDescent="0.3">
      <c r="C32" s="6"/>
      <c r="D32" s="7"/>
      <c r="E32" s="7"/>
      <c r="F32" s="6"/>
      <c r="G32" s="7"/>
      <c r="H32" s="7"/>
      <c r="I32" s="7"/>
      <c r="J32" s="8"/>
      <c r="K32" s="8"/>
      <c r="L32" s="8"/>
      <c r="M32" s="7"/>
    </row>
    <row r="33" spans="3:13" x14ac:dyDescent="0.3">
      <c r="C33" s="6"/>
      <c r="D33" s="7"/>
      <c r="E33" s="7"/>
      <c r="F33" s="6"/>
      <c r="G33" s="7"/>
      <c r="H33" s="7"/>
      <c r="I33" s="7"/>
      <c r="J33" s="8"/>
      <c r="K33" s="8"/>
      <c r="L33" s="8"/>
      <c r="M33" s="7"/>
    </row>
    <row r="34" spans="3:13" x14ac:dyDescent="0.3">
      <c r="C34" s="6"/>
      <c r="D34" s="7"/>
      <c r="E34" s="7"/>
      <c r="F34" s="6"/>
      <c r="G34" s="7"/>
      <c r="H34" s="7"/>
      <c r="I34" s="7"/>
      <c r="J34" s="8"/>
      <c r="K34" s="8"/>
      <c r="L34" s="8"/>
      <c r="M34" s="7"/>
    </row>
    <row r="35" spans="3:13" x14ac:dyDescent="0.3">
      <c r="C35" s="6"/>
      <c r="D35" s="7"/>
      <c r="E35" s="7"/>
      <c r="F35" s="6"/>
      <c r="G35" s="7"/>
      <c r="H35" s="7"/>
      <c r="I35" s="7"/>
      <c r="J35" s="8"/>
      <c r="K35" s="8"/>
      <c r="L35" s="8"/>
      <c r="M35" s="7"/>
    </row>
    <row r="36" spans="3:13" x14ac:dyDescent="0.3">
      <c r="C36" s="6"/>
      <c r="D36" s="7"/>
      <c r="E36" s="7"/>
      <c r="F36" s="6"/>
      <c r="G36" s="7"/>
      <c r="H36" s="7"/>
      <c r="I36" s="7"/>
      <c r="J36" s="8"/>
      <c r="K36" s="8"/>
      <c r="L36" s="8"/>
      <c r="M36" s="7"/>
    </row>
    <row r="37" spans="3:13" x14ac:dyDescent="0.3">
      <c r="C37" s="6"/>
      <c r="D37" s="7"/>
      <c r="E37" s="7"/>
      <c r="F37" s="6"/>
      <c r="G37" s="7"/>
      <c r="H37" s="7"/>
      <c r="I37" s="7"/>
      <c r="J37" s="8"/>
      <c r="K37" s="8"/>
      <c r="L37" s="8"/>
      <c r="M37" s="7"/>
    </row>
    <row r="38" spans="3:13" x14ac:dyDescent="0.3">
      <c r="C38" s="6"/>
      <c r="D38" s="7"/>
      <c r="E38" s="7"/>
      <c r="F38" s="6"/>
      <c r="G38" s="7"/>
      <c r="H38" s="7"/>
      <c r="I38" s="7"/>
      <c r="J38" s="8"/>
      <c r="K38" s="8"/>
      <c r="L38" s="8"/>
      <c r="M38" s="7"/>
    </row>
    <row r="39" spans="3:13" x14ac:dyDescent="0.3">
      <c r="C39" s="6"/>
      <c r="D39" s="7"/>
      <c r="E39" s="7"/>
      <c r="F39" s="6"/>
      <c r="G39" s="7"/>
      <c r="H39" s="7"/>
      <c r="I39" s="7"/>
      <c r="J39" s="8"/>
      <c r="K39" s="8"/>
      <c r="L39" s="8"/>
      <c r="M39" s="7"/>
    </row>
    <row r="40" spans="3:13" x14ac:dyDescent="0.3">
      <c r="C40" s="6"/>
      <c r="D40" s="7"/>
      <c r="E40" s="7"/>
      <c r="F40" s="6"/>
      <c r="G40" s="7"/>
      <c r="H40" s="7"/>
      <c r="I40" s="7"/>
      <c r="J40" s="8"/>
      <c r="K40" s="8"/>
      <c r="L40" s="8"/>
      <c r="M40" s="7"/>
    </row>
    <row r="41" spans="3:13" x14ac:dyDescent="0.3">
      <c r="C41" s="6"/>
      <c r="D41" s="7"/>
      <c r="E41" s="7"/>
      <c r="F41" s="6"/>
      <c r="G41" s="7"/>
      <c r="H41" s="7"/>
      <c r="I41" s="7"/>
      <c r="J41" s="8"/>
      <c r="K41" s="8"/>
      <c r="L41" s="8"/>
      <c r="M41" s="7"/>
    </row>
    <row r="42" spans="3:13" x14ac:dyDescent="0.3">
      <c r="C42" s="6"/>
      <c r="D42" s="7"/>
      <c r="E42" s="7"/>
      <c r="F42" s="6"/>
      <c r="G42" s="7"/>
      <c r="H42" s="7"/>
      <c r="I42" s="7"/>
      <c r="J42" s="8"/>
      <c r="K42" s="8"/>
      <c r="L42" s="8"/>
      <c r="M42" s="7"/>
    </row>
    <row r="43" spans="3:13" x14ac:dyDescent="0.3">
      <c r="C43" s="6"/>
      <c r="D43" s="7"/>
      <c r="E43" s="7"/>
      <c r="F43" s="6"/>
      <c r="G43" s="7"/>
      <c r="H43" s="7"/>
      <c r="I43" s="7"/>
      <c r="J43" s="8"/>
      <c r="K43" s="8"/>
      <c r="L43" s="8"/>
      <c r="M43" s="7"/>
    </row>
    <row r="44" spans="3:13" x14ac:dyDescent="0.3">
      <c r="C44" s="6"/>
      <c r="D44" s="7"/>
      <c r="E44" s="7"/>
      <c r="F44" s="6"/>
      <c r="G44" s="7"/>
      <c r="H44" s="7"/>
      <c r="I44" s="7"/>
      <c r="J44" s="8"/>
      <c r="K44" s="8"/>
      <c r="L44" s="8"/>
      <c r="M44" s="7"/>
    </row>
    <row r="45" spans="3:13" x14ac:dyDescent="0.3">
      <c r="C45" s="6"/>
      <c r="D45" s="7"/>
      <c r="E45" s="7"/>
      <c r="F45" s="6"/>
      <c r="G45" s="7"/>
      <c r="H45" s="7"/>
      <c r="I45" s="7"/>
      <c r="J45" s="8"/>
      <c r="K45" s="8"/>
      <c r="L45" s="8"/>
      <c r="M45" s="7"/>
    </row>
    <row r="46" spans="3:13" x14ac:dyDescent="0.3">
      <c r="C46" s="6"/>
      <c r="D46" s="7"/>
      <c r="E46" s="7"/>
      <c r="F46" s="6"/>
      <c r="G46" s="7"/>
      <c r="H46" s="7"/>
      <c r="I46" s="7"/>
      <c r="J46" s="8"/>
      <c r="K46" s="8"/>
      <c r="L46" s="8"/>
      <c r="M46" s="7"/>
    </row>
    <row r="47" spans="3:13" x14ac:dyDescent="0.3">
      <c r="C47" s="6"/>
      <c r="D47" s="7"/>
      <c r="E47" s="7"/>
      <c r="F47" s="6"/>
      <c r="G47" s="7"/>
      <c r="H47" s="7"/>
      <c r="I47" s="7"/>
      <c r="J47" s="8"/>
      <c r="K47" s="8"/>
      <c r="L47" s="8"/>
      <c r="M47" s="7"/>
    </row>
    <row r="48" spans="3:13" x14ac:dyDescent="0.3">
      <c r="C48" s="6"/>
      <c r="D48" s="7"/>
      <c r="E48" s="7"/>
      <c r="F48" s="6"/>
      <c r="G48" s="7"/>
      <c r="H48" s="7"/>
      <c r="I48" s="7"/>
      <c r="J48" s="8"/>
      <c r="K48" s="8"/>
      <c r="L48" s="8"/>
      <c r="M48" s="7"/>
    </row>
    <row r="49" spans="3:13" x14ac:dyDescent="0.3">
      <c r="C49" s="6"/>
      <c r="D49" s="7"/>
      <c r="E49" s="7"/>
      <c r="F49" s="6"/>
      <c r="G49" s="7"/>
      <c r="H49" s="7"/>
      <c r="I49" s="7"/>
      <c r="J49" s="8"/>
      <c r="K49" s="8"/>
      <c r="L49" s="8"/>
      <c r="M49" s="7"/>
    </row>
    <row r="50" spans="3:13" x14ac:dyDescent="0.3">
      <c r="C50" s="6"/>
      <c r="D50" s="7"/>
      <c r="E50" s="7"/>
      <c r="F50" s="6"/>
      <c r="G50" s="7"/>
      <c r="H50" s="7"/>
      <c r="I50" s="7"/>
      <c r="J50" s="8"/>
      <c r="K50" s="8"/>
      <c r="L50" s="8"/>
      <c r="M50" s="7"/>
    </row>
    <row r="51" spans="3:13" x14ac:dyDescent="0.3">
      <c r="C51" s="6"/>
      <c r="D51" s="7"/>
      <c r="E51" s="7"/>
      <c r="F51" s="6"/>
      <c r="G51" s="7"/>
      <c r="H51" s="7"/>
      <c r="I51" s="7"/>
      <c r="J51" s="8"/>
      <c r="K51" s="8"/>
      <c r="L51" s="8"/>
      <c r="M51" s="7"/>
    </row>
    <row r="52" spans="3:13" x14ac:dyDescent="0.3">
      <c r="C52" s="6"/>
      <c r="D52" s="7"/>
      <c r="E52" s="7"/>
      <c r="F52" s="6"/>
      <c r="G52" s="7"/>
      <c r="H52" s="7"/>
      <c r="I52" s="7"/>
      <c r="J52" s="8"/>
      <c r="K52" s="8"/>
      <c r="L52" s="8"/>
      <c r="M52" s="7"/>
    </row>
    <row r="53" spans="3:13" x14ac:dyDescent="0.3">
      <c r="C53" s="6"/>
      <c r="D53" s="7"/>
      <c r="E53" s="7"/>
      <c r="F53" s="6"/>
      <c r="G53" s="7"/>
      <c r="H53" s="7"/>
      <c r="I53" s="7"/>
      <c r="J53" s="8"/>
      <c r="K53" s="8"/>
      <c r="L53" s="8"/>
      <c r="M53" s="7"/>
    </row>
    <row r="54" spans="3:13" x14ac:dyDescent="0.3">
      <c r="C54" s="6"/>
      <c r="D54" s="7"/>
      <c r="E54" s="7"/>
      <c r="F54" s="6"/>
      <c r="G54" s="7"/>
      <c r="H54" s="7"/>
      <c r="I54" s="7"/>
      <c r="J54" s="8"/>
      <c r="K54" s="8"/>
      <c r="L54" s="8"/>
      <c r="M54" s="7"/>
    </row>
    <row r="55" spans="3:13" x14ac:dyDescent="0.3">
      <c r="C55" s="6"/>
      <c r="D55" s="7"/>
      <c r="E55" s="7"/>
      <c r="F55" s="6"/>
      <c r="G55" s="7"/>
      <c r="H55" s="7"/>
      <c r="I55" s="7"/>
      <c r="J55" s="8"/>
      <c r="K55" s="8"/>
      <c r="L55" s="8"/>
      <c r="M55" s="7"/>
    </row>
    <row r="56" spans="3:13" x14ac:dyDescent="0.3">
      <c r="C56" s="6"/>
      <c r="D56" s="7"/>
      <c r="E56" s="7"/>
      <c r="F56" s="6"/>
      <c r="G56" s="7"/>
      <c r="H56" s="7"/>
      <c r="I56" s="7"/>
      <c r="J56" s="8"/>
      <c r="K56" s="8"/>
      <c r="L56" s="8"/>
      <c r="M56" s="7"/>
    </row>
    <row r="57" spans="3:13" x14ac:dyDescent="0.3">
      <c r="C57" s="6"/>
      <c r="D57" s="7"/>
      <c r="E57" s="7"/>
      <c r="F57" s="6"/>
      <c r="G57" s="7"/>
      <c r="H57" s="7"/>
      <c r="I57" s="7"/>
      <c r="J57" s="8"/>
      <c r="K57" s="8"/>
      <c r="L57" s="8"/>
      <c r="M57" s="7"/>
    </row>
    <row r="58" spans="3:13" x14ac:dyDescent="0.3">
      <c r="C58" s="6"/>
      <c r="D58" s="7"/>
      <c r="E58" s="7"/>
      <c r="F58" s="6"/>
      <c r="G58" s="7"/>
      <c r="H58" s="7"/>
      <c r="I58" s="7"/>
      <c r="J58" s="8"/>
      <c r="K58" s="8"/>
      <c r="L58" s="8"/>
      <c r="M58" s="7"/>
    </row>
    <row r="59" spans="3:13" x14ac:dyDescent="0.3">
      <c r="C59" s="6"/>
      <c r="D59" s="7"/>
      <c r="E59" s="7"/>
      <c r="F59" s="6"/>
      <c r="G59" s="7"/>
      <c r="H59" s="7"/>
      <c r="I59" s="7"/>
      <c r="J59" s="8"/>
      <c r="K59" s="8"/>
      <c r="L59" s="8"/>
      <c r="M59" s="7"/>
    </row>
    <row r="60" spans="3:13" x14ac:dyDescent="0.3">
      <c r="C60" s="6"/>
      <c r="D60" s="7"/>
      <c r="E60" s="7"/>
      <c r="F60" s="6"/>
      <c r="G60" s="7"/>
      <c r="H60" s="7"/>
      <c r="I60" s="7"/>
      <c r="J60" s="8"/>
      <c r="K60" s="8"/>
      <c r="L60" s="8"/>
      <c r="M60" s="7"/>
    </row>
    <row r="61" spans="3:13" x14ac:dyDescent="0.3">
      <c r="C61" s="6"/>
      <c r="D61" s="7"/>
      <c r="E61" s="7"/>
      <c r="F61" s="6"/>
      <c r="G61" s="7"/>
      <c r="H61" s="7"/>
      <c r="I61" s="7"/>
      <c r="J61" s="8"/>
      <c r="K61" s="8"/>
      <c r="L61" s="8"/>
      <c r="M61" s="7"/>
    </row>
    <row r="62" spans="3:13" x14ac:dyDescent="0.3">
      <c r="C62" s="6"/>
      <c r="D62" s="7"/>
      <c r="E62" s="7"/>
      <c r="F62" s="6"/>
      <c r="G62" s="7"/>
      <c r="H62" s="7"/>
      <c r="I62" s="7"/>
      <c r="J62" s="8"/>
      <c r="K62" s="8"/>
      <c r="L62" s="8"/>
      <c r="M62" s="7"/>
    </row>
    <row r="63" spans="3:13" x14ac:dyDescent="0.3">
      <c r="C63" s="6"/>
      <c r="D63" s="7"/>
      <c r="E63" s="7"/>
      <c r="F63" s="6"/>
      <c r="G63" s="7"/>
      <c r="H63" s="7"/>
      <c r="I63" s="7"/>
      <c r="J63" s="8"/>
      <c r="K63" s="8"/>
      <c r="L63" s="8"/>
      <c r="M63" s="7"/>
    </row>
    <row r="64" spans="3:13" x14ac:dyDescent="0.3">
      <c r="C64" s="6"/>
      <c r="D64" s="7"/>
      <c r="E64" s="7"/>
      <c r="F64" s="6"/>
      <c r="G64" s="7"/>
      <c r="H64" s="7"/>
      <c r="I64" s="7"/>
      <c r="J64" s="8"/>
      <c r="K64" s="8"/>
      <c r="L64" s="8"/>
      <c r="M64" s="7"/>
    </row>
    <row r="65" spans="3:13" x14ac:dyDescent="0.3">
      <c r="C65" s="6"/>
      <c r="D65" s="7"/>
      <c r="E65" s="7"/>
      <c r="F65" s="6"/>
      <c r="G65" s="7"/>
      <c r="H65" s="7"/>
      <c r="I65" s="7"/>
      <c r="J65" s="8"/>
      <c r="K65" s="8"/>
      <c r="L65" s="8"/>
      <c r="M65" s="7"/>
    </row>
    <row r="66" spans="3:13" x14ac:dyDescent="0.3">
      <c r="C66" s="6"/>
      <c r="D66" s="7"/>
      <c r="E66" s="7"/>
      <c r="F66" s="6"/>
      <c r="G66" s="7"/>
      <c r="H66" s="7"/>
      <c r="I66" s="7"/>
      <c r="J66" s="8"/>
      <c r="K66" s="8"/>
      <c r="L66" s="8"/>
      <c r="M66" s="7"/>
    </row>
    <row r="67" spans="3:13" x14ac:dyDescent="0.3">
      <c r="C67" s="6"/>
      <c r="D67" s="7"/>
      <c r="E67" s="7"/>
      <c r="F67" s="6"/>
      <c r="G67" s="7"/>
      <c r="H67" s="7"/>
      <c r="I67" s="7"/>
      <c r="J67" s="8"/>
      <c r="K67" s="8"/>
      <c r="L67" s="8"/>
      <c r="M67" s="7"/>
    </row>
    <row r="68" spans="3:13" x14ac:dyDescent="0.3">
      <c r="C68" s="6"/>
      <c r="D68" s="7"/>
      <c r="E68" s="7"/>
      <c r="F68" s="6"/>
      <c r="G68" s="7"/>
      <c r="H68" s="7"/>
      <c r="I68" s="7"/>
      <c r="J68" s="8"/>
      <c r="K68" s="8"/>
      <c r="L68" s="8"/>
      <c r="M68" s="7"/>
    </row>
    <row r="69" spans="3:13" x14ac:dyDescent="0.3">
      <c r="C69" s="6"/>
      <c r="D69" s="7"/>
      <c r="E69" s="7"/>
      <c r="F69" s="6"/>
      <c r="G69" s="7"/>
      <c r="H69" s="7"/>
      <c r="I69" s="7"/>
      <c r="J69" s="8"/>
      <c r="K69" s="8"/>
      <c r="L69" s="8"/>
      <c r="M69" s="7"/>
    </row>
    <row r="70" spans="3:13" x14ac:dyDescent="0.3">
      <c r="C70" s="6"/>
      <c r="D70" s="7"/>
      <c r="E70" s="7"/>
      <c r="F70" s="6"/>
      <c r="G70" s="7"/>
      <c r="H70" s="7"/>
      <c r="I70" s="7"/>
      <c r="J70" s="8"/>
      <c r="K70" s="8"/>
      <c r="L70" s="8"/>
      <c r="M70" s="7"/>
    </row>
    <row r="71" spans="3:13" x14ac:dyDescent="0.3">
      <c r="C71" s="6"/>
      <c r="D71" s="7"/>
      <c r="E71" s="7"/>
      <c r="F71" s="6"/>
      <c r="G71" s="7"/>
      <c r="H71" s="7"/>
      <c r="I71" s="7"/>
      <c r="J71" s="8"/>
      <c r="K71" s="8"/>
      <c r="L71" s="8"/>
      <c r="M71" s="7"/>
    </row>
    <row r="72" spans="3:13" x14ac:dyDescent="0.3">
      <c r="C72" s="6"/>
      <c r="D72" s="7"/>
      <c r="E72" s="7"/>
      <c r="F72" s="6"/>
      <c r="G72" s="7"/>
      <c r="H72" s="7"/>
      <c r="I72" s="7"/>
      <c r="J72" s="8"/>
      <c r="K72" s="8"/>
      <c r="L72" s="8"/>
      <c r="M72" s="7"/>
    </row>
    <row r="73" spans="3:13" x14ac:dyDescent="0.3">
      <c r="C73" s="6"/>
      <c r="D73" s="7"/>
      <c r="E73" s="7"/>
      <c r="F73" s="6"/>
      <c r="G73" s="7"/>
      <c r="H73" s="7"/>
      <c r="I73" s="7"/>
      <c r="J73" s="8"/>
      <c r="K73" s="8"/>
      <c r="L73" s="8"/>
      <c r="M73" s="7"/>
    </row>
    <row r="74" spans="3:13" x14ac:dyDescent="0.3">
      <c r="C74" s="6"/>
      <c r="D74" s="7"/>
      <c r="E74" s="7"/>
      <c r="F74" s="6"/>
      <c r="G74" s="7"/>
      <c r="H74" s="7"/>
      <c r="I74" s="7"/>
      <c r="J74" s="8"/>
      <c r="K74" s="8"/>
      <c r="L74" s="8"/>
      <c r="M74" s="7"/>
    </row>
    <row r="75" spans="3:13" x14ac:dyDescent="0.3">
      <c r="C75" s="6"/>
      <c r="D75" s="7"/>
      <c r="E75" s="7"/>
      <c r="F75" s="6"/>
      <c r="G75" s="7"/>
      <c r="H75" s="7"/>
      <c r="I75" s="7"/>
      <c r="J75" s="8"/>
      <c r="K75" s="8"/>
      <c r="L75" s="8"/>
      <c r="M75" s="7"/>
    </row>
    <row r="76" spans="3:13" x14ac:dyDescent="0.3">
      <c r="C76" s="6"/>
      <c r="D76" s="7"/>
      <c r="E76" s="7"/>
      <c r="F76" s="6"/>
      <c r="G76" s="7"/>
      <c r="H76" s="7"/>
      <c r="I76" s="7"/>
      <c r="J76" s="8"/>
      <c r="K76" s="8"/>
      <c r="L76" s="8"/>
      <c r="M76" s="7"/>
    </row>
    <row r="77" spans="3:13" x14ac:dyDescent="0.3">
      <c r="C77" s="6"/>
      <c r="D77" s="7"/>
      <c r="E77" s="7"/>
      <c r="F77" s="6"/>
      <c r="G77" s="7"/>
      <c r="H77" s="7"/>
      <c r="I77" s="7"/>
      <c r="J77" s="8"/>
      <c r="K77" s="8"/>
      <c r="L77" s="8"/>
      <c r="M77" s="7"/>
    </row>
    <row r="78" spans="3:13" x14ac:dyDescent="0.3">
      <c r="C78" s="6"/>
      <c r="D78" s="7"/>
      <c r="E78" s="7"/>
      <c r="F78" s="6"/>
      <c r="G78" s="7"/>
      <c r="H78" s="7"/>
      <c r="I78" s="7"/>
      <c r="J78" s="8"/>
      <c r="K78" s="8"/>
      <c r="L78" s="8"/>
      <c r="M78" s="7"/>
    </row>
    <row r="79" spans="3:13" x14ac:dyDescent="0.3">
      <c r="C79" s="6"/>
      <c r="D79" s="7"/>
      <c r="E79" s="7"/>
      <c r="F79" s="6"/>
      <c r="G79" s="7"/>
      <c r="H79" s="7"/>
      <c r="I79" s="7"/>
      <c r="J79" s="8"/>
      <c r="K79" s="8"/>
      <c r="L79" s="8"/>
      <c r="M79" s="7"/>
    </row>
    <row r="80" spans="3:13" x14ac:dyDescent="0.3">
      <c r="C80" s="6"/>
      <c r="D80" s="7"/>
      <c r="E80" s="7"/>
      <c r="F80" s="6"/>
      <c r="G80" s="7"/>
      <c r="H80" s="7"/>
      <c r="I80" s="7"/>
      <c r="J80" s="8"/>
      <c r="K80" s="8"/>
      <c r="L80" s="8"/>
      <c r="M80" s="7"/>
    </row>
    <row r="81" spans="3:13" x14ac:dyDescent="0.3">
      <c r="C81" s="6"/>
      <c r="D81" s="7"/>
      <c r="E81" s="7"/>
      <c r="F81" s="6"/>
      <c r="G81" s="7"/>
      <c r="H81" s="7"/>
      <c r="I81" s="7"/>
      <c r="J81" s="8"/>
      <c r="K81" s="8"/>
      <c r="L81" s="8"/>
      <c r="M81" s="7"/>
    </row>
    <row r="82" spans="3:13" x14ac:dyDescent="0.3">
      <c r="C82" s="6"/>
      <c r="D82" s="7"/>
      <c r="E82" s="7"/>
      <c r="F82" s="6"/>
      <c r="G82" s="7"/>
      <c r="H82" s="7"/>
      <c r="I82" s="7"/>
      <c r="J82" s="8"/>
      <c r="K82" s="8"/>
      <c r="L82" s="8"/>
      <c r="M82" s="7"/>
    </row>
    <row r="83" spans="3:13" x14ac:dyDescent="0.3">
      <c r="C83" s="6"/>
      <c r="D83" s="7"/>
      <c r="E83" s="7"/>
      <c r="F83" s="6"/>
      <c r="G83" s="7"/>
      <c r="H83" s="7"/>
      <c r="I83" s="7"/>
      <c r="J83" s="8"/>
      <c r="K83" s="8"/>
      <c r="L83" s="8"/>
      <c r="M83" s="7"/>
    </row>
    <row r="84" spans="3:13" x14ac:dyDescent="0.3">
      <c r="C84" s="6"/>
      <c r="D84" s="7"/>
      <c r="E84" s="7"/>
      <c r="F84" s="6"/>
      <c r="G84" s="7"/>
      <c r="H84" s="7"/>
      <c r="I84" s="7"/>
      <c r="J84" s="8"/>
      <c r="K84" s="8"/>
      <c r="L84" s="8"/>
      <c r="M84" s="7"/>
    </row>
    <row r="85" spans="3:13" x14ac:dyDescent="0.3">
      <c r="C85" s="6"/>
      <c r="D85" s="7"/>
      <c r="E85" s="7"/>
      <c r="F85" s="6"/>
      <c r="G85" s="7"/>
      <c r="H85" s="7"/>
      <c r="I85" s="7"/>
      <c r="J85" s="8"/>
      <c r="K85" s="8"/>
      <c r="L85" s="8"/>
      <c r="M85" s="7"/>
    </row>
    <row r="86" spans="3:13" x14ac:dyDescent="0.3">
      <c r="C86" s="6"/>
      <c r="D86" s="7"/>
      <c r="E86" s="7"/>
      <c r="F86" s="6"/>
      <c r="G86" s="7"/>
      <c r="H86" s="7"/>
      <c r="I86" s="7"/>
      <c r="J86" s="8"/>
      <c r="K86" s="8"/>
      <c r="L86" s="8"/>
      <c r="M86" s="7"/>
    </row>
    <row r="87" spans="3:13" x14ac:dyDescent="0.3">
      <c r="C87" s="6"/>
      <c r="D87" s="7"/>
      <c r="E87" s="7"/>
      <c r="F87" s="6"/>
      <c r="G87" s="7"/>
      <c r="H87" s="7"/>
      <c r="I87" s="7"/>
      <c r="J87" s="8"/>
      <c r="K87" s="8"/>
      <c r="L87" s="8"/>
      <c r="M87" s="7"/>
    </row>
    <row r="88" spans="3:13" x14ac:dyDescent="0.3">
      <c r="C88" s="6"/>
      <c r="D88" s="7"/>
      <c r="E88" s="7"/>
      <c r="F88" s="6"/>
      <c r="G88" s="7"/>
      <c r="H88" s="7"/>
      <c r="I88" s="7"/>
      <c r="J88" s="8"/>
      <c r="K88" s="8"/>
      <c r="L88" s="8"/>
      <c r="M88" s="7"/>
    </row>
    <row r="89" spans="3:13" x14ac:dyDescent="0.3">
      <c r="C89" s="6"/>
      <c r="D89" s="7"/>
      <c r="E89" s="7"/>
      <c r="F89" s="6"/>
      <c r="G89" s="7"/>
      <c r="H89" s="7"/>
      <c r="I89" s="7"/>
      <c r="J89" s="8"/>
      <c r="K89" s="8"/>
      <c r="L89" s="8"/>
      <c r="M89" s="7"/>
    </row>
    <row r="90" spans="3:13" x14ac:dyDescent="0.3">
      <c r="C90" s="6"/>
      <c r="D90" s="7"/>
      <c r="E90" s="7"/>
      <c r="F90" s="6"/>
      <c r="G90" s="7"/>
      <c r="H90" s="7"/>
      <c r="I90" s="7"/>
      <c r="J90" s="8"/>
      <c r="K90" s="8"/>
      <c r="L90" s="8"/>
      <c r="M90" s="7"/>
    </row>
    <row r="91" spans="3:13" x14ac:dyDescent="0.3">
      <c r="C91" s="6"/>
      <c r="D91" s="7"/>
      <c r="E91" s="7"/>
      <c r="F91" s="6"/>
      <c r="G91" s="7"/>
      <c r="H91" s="7"/>
      <c r="I91" s="7"/>
      <c r="J91" s="8"/>
      <c r="K91" s="8"/>
      <c r="L91" s="8"/>
      <c r="M91" s="7"/>
    </row>
    <row r="92" spans="3:13" x14ac:dyDescent="0.3">
      <c r="C92" s="6"/>
      <c r="D92" s="7"/>
      <c r="E92" s="7"/>
      <c r="F92" s="6"/>
      <c r="G92" s="7"/>
      <c r="H92" s="7"/>
      <c r="I92" s="7"/>
      <c r="J92" s="8"/>
      <c r="K92" s="8"/>
      <c r="L92" s="8"/>
      <c r="M92" s="7"/>
    </row>
    <row r="93" spans="3:13" x14ac:dyDescent="0.3">
      <c r="C93" s="6"/>
      <c r="D93" s="7"/>
      <c r="E93" s="7"/>
      <c r="F93" s="6"/>
      <c r="G93" s="7"/>
      <c r="H93" s="7"/>
      <c r="I93" s="7"/>
      <c r="J93" s="8"/>
      <c r="K93" s="8"/>
      <c r="L93" s="8"/>
      <c r="M93" s="7"/>
    </row>
    <row r="94" spans="3:13" x14ac:dyDescent="0.3">
      <c r="C94" s="6"/>
      <c r="D94" s="7"/>
      <c r="E94" s="7"/>
      <c r="F94" s="6"/>
      <c r="G94" s="7"/>
      <c r="H94" s="7"/>
      <c r="I94" s="7"/>
      <c r="J94" s="8"/>
      <c r="K94" s="8"/>
      <c r="L94" s="8"/>
      <c r="M94" s="7"/>
    </row>
    <row r="95" spans="3:13" x14ac:dyDescent="0.3">
      <c r="C95" s="6"/>
      <c r="D95" s="7"/>
      <c r="E95" s="7"/>
      <c r="F95" s="6"/>
      <c r="G95" s="7"/>
      <c r="H95" s="7"/>
      <c r="I95" s="7"/>
      <c r="J95" s="8"/>
      <c r="K95" s="8"/>
      <c r="L95" s="8"/>
      <c r="M95" s="7"/>
    </row>
    <row r="96" spans="3:13" x14ac:dyDescent="0.3">
      <c r="C96" s="6"/>
      <c r="D96" s="7"/>
      <c r="E96" s="7"/>
      <c r="F96" s="6"/>
      <c r="G96" s="7"/>
      <c r="H96" s="7"/>
      <c r="I96" s="7"/>
      <c r="J96" s="8"/>
      <c r="K96" s="8"/>
      <c r="L96" s="8"/>
      <c r="M96" s="7"/>
    </row>
    <row r="97" spans="3:13" x14ac:dyDescent="0.3">
      <c r="C97" s="6"/>
      <c r="D97" s="7"/>
      <c r="E97" s="7"/>
      <c r="F97" s="6"/>
      <c r="G97" s="7"/>
      <c r="H97" s="7"/>
      <c r="I97" s="7"/>
      <c r="J97" s="8"/>
      <c r="K97" s="8"/>
      <c r="L97" s="8"/>
      <c r="M97" s="7"/>
    </row>
    <row r="98" spans="3:13" x14ac:dyDescent="0.3">
      <c r="C98" s="6"/>
      <c r="D98" s="7"/>
      <c r="E98" s="7"/>
      <c r="F98" s="6"/>
      <c r="G98" s="7"/>
      <c r="H98" s="7"/>
      <c r="I98" s="7"/>
      <c r="J98" s="8"/>
      <c r="K98" s="8"/>
      <c r="L98" s="8"/>
      <c r="M98" s="7"/>
    </row>
    <row r="99" spans="3:13" x14ac:dyDescent="0.3">
      <c r="C99" s="6"/>
      <c r="D99" s="7"/>
      <c r="E99" s="7"/>
      <c r="F99" s="6"/>
      <c r="G99" s="7"/>
      <c r="H99" s="7"/>
      <c r="I99" s="7"/>
      <c r="J99" s="8"/>
      <c r="K99" s="8"/>
      <c r="L99" s="8"/>
      <c r="M99" s="7"/>
    </row>
    <row r="100" spans="3:13" x14ac:dyDescent="0.3">
      <c r="C100" s="6"/>
      <c r="D100" s="7"/>
      <c r="E100" s="7"/>
      <c r="F100" s="6"/>
      <c r="G100" s="7"/>
      <c r="H100" s="7"/>
      <c r="I100" s="7"/>
      <c r="J100" s="8"/>
      <c r="K100" s="8"/>
      <c r="L100" s="8"/>
      <c r="M100" s="7"/>
    </row>
    <row r="101" spans="3:13" x14ac:dyDescent="0.3">
      <c r="C101" s="6"/>
      <c r="D101" s="7"/>
      <c r="E101" s="7"/>
      <c r="F101" s="6"/>
      <c r="G101" s="7"/>
      <c r="H101" s="7"/>
      <c r="I101" s="7"/>
      <c r="J101" s="8"/>
      <c r="K101" s="8"/>
      <c r="L101" s="8"/>
      <c r="M101" s="7"/>
    </row>
    <row r="102" spans="3:13" x14ac:dyDescent="0.3">
      <c r="C102" s="6"/>
      <c r="D102" s="7"/>
      <c r="E102" s="7"/>
      <c r="F102" s="6"/>
      <c r="G102" s="7"/>
      <c r="H102" s="7"/>
      <c r="I102" s="7"/>
      <c r="J102" s="8"/>
      <c r="K102" s="8"/>
      <c r="L102" s="8"/>
      <c r="M102" s="7"/>
    </row>
    <row r="103" spans="3:13" x14ac:dyDescent="0.3">
      <c r="C103" s="6"/>
      <c r="D103" s="7"/>
      <c r="E103" s="7"/>
      <c r="F103" s="6"/>
      <c r="G103" s="7"/>
      <c r="H103" s="7"/>
      <c r="I103" s="7"/>
      <c r="J103" s="8"/>
      <c r="K103" s="8"/>
      <c r="L103" s="8"/>
      <c r="M103" s="7"/>
    </row>
    <row r="104" spans="3:13" x14ac:dyDescent="0.3">
      <c r="C104" s="6"/>
      <c r="D104" s="7"/>
      <c r="E104" s="7"/>
      <c r="F104" s="6"/>
      <c r="G104" s="7"/>
      <c r="H104" s="7"/>
      <c r="I104" s="7"/>
      <c r="J104" s="8"/>
      <c r="K104" s="8"/>
      <c r="L104" s="8"/>
      <c r="M104" s="7"/>
    </row>
    <row r="105" spans="3:13" x14ac:dyDescent="0.3">
      <c r="C105" s="6"/>
      <c r="D105" s="7"/>
      <c r="E105" s="7"/>
      <c r="F105" s="6"/>
      <c r="G105" s="7"/>
      <c r="H105" s="7"/>
      <c r="I105" s="7"/>
      <c r="J105" s="8"/>
      <c r="K105" s="8"/>
      <c r="L105" s="8"/>
      <c r="M105" s="7"/>
    </row>
    <row r="106" spans="3:13" x14ac:dyDescent="0.3">
      <c r="C106" s="6"/>
      <c r="D106" s="7"/>
      <c r="E106" s="7"/>
      <c r="F106" s="6"/>
      <c r="G106" s="7"/>
      <c r="H106" s="7"/>
      <c r="I106" s="7"/>
      <c r="J106" s="8"/>
      <c r="K106" s="8"/>
      <c r="L106" s="8"/>
      <c r="M106" s="7"/>
    </row>
    <row r="107" spans="3:13" x14ac:dyDescent="0.3">
      <c r="C107" s="6"/>
      <c r="D107" s="7"/>
      <c r="E107" s="7"/>
      <c r="F107" s="6"/>
      <c r="G107" s="7"/>
      <c r="H107" s="7"/>
      <c r="I107" s="7"/>
      <c r="J107" s="8"/>
      <c r="K107" s="8"/>
      <c r="L107" s="8"/>
      <c r="M107" s="7"/>
    </row>
    <row r="108" spans="3:13" x14ac:dyDescent="0.3">
      <c r="C108" s="6"/>
      <c r="D108" s="7"/>
      <c r="E108" s="7"/>
      <c r="F108" s="6"/>
      <c r="G108" s="7"/>
      <c r="H108" s="7"/>
      <c r="I108" s="7"/>
      <c r="J108" s="8"/>
      <c r="K108" s="8"/>
      <c r="L108" s="8"/>
      <c r="M108" s="7"/>
    </row>
    <row r="109" spans="3:13" x14ac:dyDescent="0.3">
      <c r="C109" s="6"/>
      <c r="D109" s="7"/>
      <c r="E109" s="7"/>
      <c r="F109" s="6"/>
      <c r="G109" s="7"/>
      <c r="H109" s="7"/>
      <c r="I109" s="7"/>
      <c r="J109" s="8"/>
      <c r="K109" s="8"/>
      <c r="L109" s="8"/>
      <c r="M109" s="7"/>
    </row>
    <row r="110" spans="3:13" x14ac:dyDescent="0.3">
      <c r="C110" s="6"/>
      <c r="D110" s="7"/>
      <c r="E110" s="7"/>
      <c r="F110" s="6"/>
      <c r="G110" s="7"/>
      <c r="H110" s="7"/>
      <c r="I110" s="7"/>
      <c r="J110" s="8"/>
      <c r="K110" s="8"/>
      <c r="L110" s="8"/>
      <c r="M110" s="7"/>
    </row>
    <row r="111" spans="3:13" x14ac:dyDescent="0.3">
      <c r="C111" s="6"/>
      <c r="D111" s="7"/>
      <c r="E111" s="7"/>
      <c r="F111" s="6"/>
      <c r="G111" s="7"/>
      <c r="H111" s="7"/>
      <c r="I111" s="7"/>
      <c r="J111" s="8"/>
      <c r="K111" s="8"/>
      <c r="L111" s="8"/>
      <c r="M111" s="7"/>
    </row>
    <row r="112" spans="3:13" x14ac:dyDescent="0.3">
      <c r="C112" s="6"/>
      <c r="D112" s="7"/>
      <c r="E112" s="7"/>
      <c r="F112" s="6"/>
      <c r="G112" s="7"/>
      <c r="H112" s="7"/>
      <c r="I112" s="7"/>
      <c r="J112" s="8"/>
      <c r="K112" s="8"/>
      <c r="L112" s="8"/>
      <c r="M112" s="7"/>
    </row>
    <row r="113" spans="3:13" x14ac:dyDescent="0.3">
      <c r="C113" s="6"/>
      <c r="D113" s="7"/>
      <c r="E113" s="7"/>
      <c r="F113" s="6"/>
      <c r="G113" s="7"/>
      <c r="H113" s="7"/>
      <c r="I113" s="7"/>
      <c r="J113" s="8"/>
      <c r="K113" s="8"/>
      <c r="L113" s="8"/>
      <c r="M113" s="7"/>
    </row>
    <row r="114" spans="3:13" x14ac:dyDescent="0.3">
      <c r="C114" s="6"/>
      <c r="D114" s="7"/>
      <c r="E114" s="7"/>
      <c r="F114" s="6"/>
      <c r="G114" s="7"/>
      <c r="H114" s="7"/>
      <c r="I114" s="7"/>
      <c r="J114" s="8"/>
      <c r="K114" s="8"/>
      <c r="L114" s="8"/>
      <c r="M114" s="7"/>
    </row>
    <row r="115" spans="3:13" x14ac:dyDescent="0.3">
      <c r="C115" s="6"/>
      <c r="D115" s="7"/>
      <c r="E115" s="7"/>
      <c r="F115" s="6"/>
      <c r="G115" s="7"/>
      <c r="H115" s="7"/>
      <c r="I115" s="7"/>
      <c r="J115" s="8"/>
      <c r="K115" s="8"/>
      <c r="L115" s="8"/>
      <c r="M115" s="7"/>
    </row>
    <row r="116" spans="3:13" x14ac:dyDescent="0.3">
      <c r="C116" s="6"/>
      <c r="D116" s="7"/>
      <c r="E116" s="7"/>
      <c r="F116" s="6"/>
      <c r="G116" s="7"/>
      <c r="H116" s="7"/>
      <c r="I116" s="7"/>
      <c r="J116" s="8"/>
      <c r="K116" s="8"/>
      <c r="L116" s="8"/>
      <c r="M116" s="7"/>
    </row>
    <row r="117" spans="3:13" x14ac:dyDescent="0.3">
      <c r="C117" s="6"/>
      <c r="D117" s="7"/>
      <c r="E117" s="7"/>
      <c r="F117" s="6"/>
      <c r="G117" s="7"/>
      <c r="H117" s="7"/>
      <c r="I117" s="7"/>
      <c r="J117" s="8"/>
      <c r="K117" s="8"/>
      <c r="L117" s="8"/>
      <c r="M117" s="7"/>
    </row>
    <row r="118" spans="3:13" x14ac:dyDescent="0.3">
      <c r="C118" s="6"/>
      <c r="D118" s="7"/>
      <c r="E118" s="7"/>
      <c r="F118" s="6"/>
      <c r="G118" s="7"/>
      <c r="H118" s="7"/>
      <c r="I118" s="7"/>
      <c r="J118" s="8"/>
      <c r="K118" s="8"/>
      <c r="L118" s="8"/>
      <c r="M118" s="7"/>
    </row>
    <row r="119" spans="3:13" x14ac:dyDescent="0.3">
      <c r="C119" s="6"/>
      <c r="D119" s="7"/>
      <c r="E119" s="7"/>
      <c r="F119" s="6"/>
      <c r="G119" s="7"/>
      <c r="H119" s="7"/>
      <c r="I119" s="7"/>
      <c r="J119" s="8"/>
      <c r="K119" s="8"/>
      <c r="L119" s="8"/>
      <c r="M119" s="7"/>
    </row>
    <row r="120" spans="3:13" x14ac:dyDescent="0.3">
      <c r="C120" s="6"/>
      <c r="D120" s="7"/>
      <c r="E120" s="7"/>
      <c r="F120" s="6"/>
      <c r="G120" s="7"/>
      <c r="H120" s="7"/>
      <c r="I120" s="7"/>
      <c r="J120" s="8"/>
      <c r="K120" s="8"/>
      <c r="L120" s="8"/>
      <c r="M120" s="7"/>
    </row>
    <row r="121" spans="3:13" x14ac:dyDescent="0.3">
      <c r="C121" s="6"/>
      <c r="D121" s="7"/>
      <c r="E121" s="7"/>
      <c r="F121" s="6"/>
      <c r="G121" s="7"/>
      <c r="H121" s="7"/>
      <c r="I121" s="7"/>
      <c r="J121" s="8"/>
      <c r="K121" s="8"/>
      <c r="L121" s="8"/>
      <c r="M121" s="7"/>
    </row>
    <row r="122" spans="3:13" x14ac:dyDescent="0.3">
      <c r="C122" s="6"/>
      <c r="D122" s="7"/>
      <c r="E122" s="7"/>
      <c r="F122" s="6"/>
      <c r="G122" s="7"/>
      <c r="H122" s="7"/>
      <c r="I122" s="7"/>
      <c r="J122" s="8"/>
      <c r="K122" s="8"/>
      <c r="L122" s="8"/>
      <c r="M122" s="7"/>
    </row>
    <row r="123" spans="3:13" x14ac:dyDescent="0.3">
      <c r="C123" s="6"/>
      <c r="D123" s="7"/>
      <c r="E123" s="7"/>
      <c r="F123" s="6"/>
      <c r="G123" s="7"/>
      <c r="H123" s="7"/>
      <c r="I123" s="7"/>
      <c r="J123" s="8"/>
      <c r="K123" s="8"/>
      <c r="L123" s="8"/>
      <c r="M123" s="7"/>
    </row>
    <row r="124" spans="3:13" x14ac:dyDescent="0.3">
      <c r="C124" s="6"/>
      <c r="D124" s="7"/>
      <c r="E124" s="7"/>
      <c r="F124" s="6"/>
      <c r="G124" s="7"/>
      <c r="H124" s="7"/>
      <c r="I124" s="7"/>
      <c r="J124" s="8"/>
      <c r="K124" s="8"/>
      <c r="L124" s="8"/>
      <c r="M124" s="7"/>
    </row>
    <row r="125" spans="3:13" x14ac:dyDescent="0.3">
      <c r="C125" s="6"/>
      <c r="D125" s="7"/>
      <c r="E125" s="7"/>
      <c r="F125" s="6"/>
      <c r="G125" s="7"/>
      <c r="H125" s="7"/>
      <c r="I125" s="7"/>
      <c r="J125" s="8"/>
      <c r="K125" s="8"/>
      <c r="L125" s="8"/>
      <c r="M125" s="7"/>
    </row>
    <row r="126" spans="3:13" x14ac:dyDescent="0.3">
      <c r="C126" s="6"/>
      <c r="D126" s="7"/>
      <c r="E126" s="7"/>
      <c r="F126" s="6"/>
      <c r="G126" s="7"/>
      <c r="H126" s="7"/>
      <c r="I126" s="7"/>
      <c r="J126" s="8"/>
      <c r="K126" s="8"/>
      <c r="L126" s="8"/>
      <c r="M126" s="7"/>
    </row>
    <row r="127" spans="3:13" x14ac:dyDescent="0.3">
      <c r="C127" s="6"/>
      <c r="D127" s="7"/>
      <c r="E127" s="7"/>
      <c r="F127" s="6"/>
      <c r="G127" s="7"/>
      <c r="H127" s="7"/>
      <c r="I127" s="7"/>
      <c r="J127" s="8"/>
      <c r="K127" s="8"/>
      <c r="L127" s="8"/>
      <c r="M127" s="7"/>
    </row>
    <row r="128" spans="3:13" x14ac:dyDescent="0.3">
      <c r="C128" s="6"/>
      <c r="D128" s="7"/>
      <c r="E128" s="7"/>
      <c r="F128" s="6"/>
      <c r="G128" s="7"/>
      <c r="H128" s="7"/>
      <c r="I128" s="7"/>
      <c r="J128" s="8"/>
      <c r="K128" s="8"/>
      <c r="L128" s="8"/>
      <c r="M128" s="7"/>
    </row>
    <row r="129" spans="3:13" x14ac:dyDescent="0.3">
      <c r="C129" s="6"/>
      <c r="D129" s="7"/>
      <c r="E129" s="7"/>
      <c r="F129" s="6"/>
      <c r="G129" s="7"/>
      <c r="H129" s="7"/>
      <c r="I129" s="7"/>
      <c r="J129" s="8"/>
      <c r="K129" s="8"/>
      <c r="L129" s="8"/>
      <c r="M129" s="7"/>
    </row>
    <row r="130" spans="3:13" x14ac:dyDescent="0.3">
      <c r="C130" s="6"/>
      <c r="D130" s="7"/>
      <c r="E130" s="7"/>
      <c r="F130" s="6"/>
      <c r="G130" s="7"/>
      <c r="H130" s="7"/>
      <c r="I130" s="7"/>
      <c r="J130" s="8"/>
      <c r="K130" s="8"/>
      <c r="L130" s="8"/>
      <c r="M130" s="7"/>
    </row>
    <row r="131" spans="3:13" x14ac:dyDescent="0.3">
      <c r="C131" s="6"/>
      <c r="D131" s="7"/>
      <c r="E131" s="7"/>
      <c r="F131" s="6"/>
      <c r="G131" s="7"/>
      <c r="H131" s="7"/>
      <c r="I131" s="7"/>
      <c r="J131" s="8"/>
      <c r="K131" s="8"/>
      <c r="L131" s="8"/>
      <c r="M131" s="7"/>
    </row>
    <row r="132" spans="3:13" x14ac:dyDescent="0.3">
      <c r="C132" s="6"/>
      <c r="D132" s="7"/>
      <c r="E132" s="7"/>
      <c r="F132" s="6"/>
      <c r="G132" s="7"/>
      <c r="H132" s="7"/>
      <c r="I132" s="7"/>
      <c r="J132" s="8"/>
      <c r="K132" s="8"/>
      <c r="L132" s="8"/>
      <c r="M132" s="7"/>
    </row>
    <row r="133" spans="3:13" x14ac:dyDescent="0.3">
      <c r="C133" s="6"/>
      <c r="D133" s="7"/>
      <c r="E133" s="7"/>
      <c r="F133" s="6"/>
      <c r="G133" s="7"/>
      <c r="H133" s="7"/>
      <c r="I133" s="7"/>
      <c r="J133" s="8"/>
      <c r="K133" s="8"/>
      <c r="L133" s="8"/>
      <c r="M133" s="7"/>
    </row>
    <row r="134" spans="3:13" x14ac:dyDescent="0.3">
      <c r="C134" s="6"/>
      <c r="D134" s="7"/>
      <c r="E134" s="7"/>
      <c r="F134" s="6"/>
      <c r="G134" s="7"/>
      <c r="H134" s="7"/>
      <c r="I134" s="7"/>
      <c r="J134" s="8"/>
      <c r="K134" s="8"/>
      <c r="L134" s="8"/>
      <c r="M134" s="7"/>
    </row>
    <row r="135" spans="3:13" x14ac:dyDescent="0.3">
      <c r="C135" s="6"/>
      <c r="D135" s="7"/>
      <c r="E135" s="7"/>
      <c r="F135" s="6"/>
      <c r="G135" s="7"/>
      <c r="H135" s="7"/>
      <c r="I135" s="7"/>
      <c r="J135" s="8"/>
      <c r="K135" s="8"/>
      <c r="L135" s="8"/>
      <c r="M135" s="7"/>
    </row>
    <row r="136" spans="3:13" x14ac:dyDescent="0.3">
      <c r="C136" s="6"/>
      <c r="D136" s="7"/>
      <c r="E136" s="7"/>
      <c r="F136" s="6"/>
      <c r="G136" s="7"/>
      <c r="H136" s="7"/>
      <c r="I136" s="7"/>
      <c r="J136" s="8"/>
      <c r="K136" s="8"/>
      <c r="L136" s="8"/>
      <c r="M136" s="7"/>
    </row>
    <row r="137" spans="3:13" x14ac:dyDescent="0.3">
      <c r="C137" s="6"/>
      <c r="D137" s="7"/>
      <c r="E137" s="7"/>
      <c r="F137" s="6"/>
      <c r="G137" s="7"/>
      <c r="H137" s="7"/>
      <c r="I137" s="7"/>
      <c r="J137" s="8"/>
      <c r="K137" s="8"/>
      <c r="L137" s="8"/>
      <c r="M137" s="7"/>
    </row>
    <row r="138" spans="3:13" x14ac:dyDescent="0.3">
      <c r="C138" s="6"/>
      <c r="D138" s="7"/>
      <c r="E138" s="7"/>
      <c r="F138" s="6"/>
      <c r="G138" s="7"/>
      <c r="H138" s="7"/>
      <c r="I138" s="7"/>
      <c r="J138" s="8"/>
      <c r="K138" s="8"/>
      <c r="L138" s="8"/>
      <c r="M138" s="7"/>
    </row>
    <row r="139" spans="3:13" x14ac:dyDescent="0.3">
      <c r="C139" s="6"/>
      <c r="D139" s="7"/>
      <c r="E139" s="7"/>
      <c r="F139" s="6"/>
      <c r="G139" s="7"/>
      <c r="H139" s="7"/>
      <c r="I139" s="7"/>
      <c r="J139" s="8"/>
      <c r="K139" s="8"/>
      <c r="L139" s="8"/>
      <c r="M139" s="7"/>
    </row>
    <row r="140" spans="3:13" x14ac:dyDescent="0.3">
      <c r="C140" s="6"/>
      <c r="D140" s="7"/>
      <c r="E140" s="7"/>
      <c r="F140" s="6"/>
      <c r="G140" s="7"/>
      <c r="H140" s="7"/>
      <c r="I140" s="7"/>
      <c r="J140" s="8"/>
      <c r="K140" s="8"/>
      <c r="L140" s="8"/>
      <c r="M140" s="7"/>
    </row>
    <row r="141" spans="3:13" x14ac:dyDescent="0.3">
      <c r="C141" s="6"/>
      <c r="D141" s="7"/>
      <c r="E141" s="7"/>
      <c r="F141" s="6"/>
      <c r="G141" s="7"/>
      <c r="H141" s="7"/>
      <c r="I141" s="7"/>
      <c r="J141" s="8"/>
      <c r="K141" s="8"/>
      <c r="L141" s="8"/>
      <c r="M141" s="7"/>
    </row>
    <row r="142" spans="3:13" x14ac:dyDescent="0.3">
      <c r="C142" s="6"/>
      <c r="D142" s="7"/>
      <c r="E142" s="7"/>
      <c r="F142" s="6"/>
      <c r="G142" s="7"/>
      <c r="H142" s="7"/>
      <c r="I142" s="7"/>
      <c r="J142" s="8"/>
      <c r="K142" s="8"/>
      <c r="L142" s="8"/>
      <c r="M142" s="7"/>
    </row>
    <row r="143" spans="3:13" x14ac:dyDescent="0.3">
      <c r="C143" s="6"/>
      <c r="D143" s="7"/>
      <c r="E143" s="7"/>
      <c r="F143" s="6"/>
      <c r="G143" s="7"/>
      <c r="H143" s="7"/>
      <c r="I143" s="7"/>
      <c r="J143" s="7"/>
      <c r="K143" s="7"/>
      <c r="L143" s="7"/>
      <c r="M143" s="7"/>
    </row>
    <row r="144" spans="3:13" x14ac:dyDescent="0.3">
      <c r="C144" s="6"/>
      <c r="D144" s="7"/>
      <c r="E144" s="7"/>
      <c r="F144" s="6"/>
      <c r="G144" s="7"/>
      <c r="H144" s="7"/>
      <c r="I144" s="7"/>
      <c r="J144" s="7"/>
      <c r="K144" s="7"/>
      <c r="L144" s="7"/>
      <c r="M144" s="7"/>
    </row>
    <row r="145" spans="3:13" x14ac:dyDescent="0.3">
      <c r="C145" s="6"/>
      <c r="D145" s="7"/>
      <c r="E145" s="7"/>
      <c r="F145" s="6"/>
      <c r="G145" s="7"/>
      <c r="H145" s="7"/>
      <c r="I145" s="7"/>
      <c r="J145" s="7"/>
      <c r="K145" s="7"/>
      <c r="L145" s="7"/>
      <c r="M145" s="7"/>
    </row>
    <row r="146" spans="3:13" x14ac:dyDescent="0.3">
      <c r="C146" s="6"/>
      <c r="D146" s="7"/>
      <c r="E146" s="7"/>
      <c r="F146" s="6"/>
      <c r="G146" s="7"/>
      <c r="H146" s="7"/>
      <c r="I146" s="7"/>
      <c r="J146" s="7"/>
      <c r="K146" s="7"/>
      <c r="L146" s="7"/>
      <c r="M146" s="7"/>
    </row>
    <row r="147" spans="3:13" x14ac:dyDescent="0.3">
      <c r="C147" s="6"/>
      <c r="D147" s="7"/>
      <c r="E147" s="7"/>
      <c r="F147" s="6"/>
      <c r="G147" s="7"/>
      <c r="H147" s="7"/>
      <c r="I147" s="7"/>
      <c r="J147" s="7"/>
      <c r="K147" s="7"/>
      <c r="L147" s="7"/>
      <c r="M147" s="7"/>
    </row>
    <row r="148" spans="3:13" x14ac:dyDescent="0.3">
      <c r="C148" s="6"/>
      <c r="D148" s="7"/>
      <c r="E148" s="7"/>
      <c r="F148" s="6"/>
      <c r="G148" s="7"/>
      <c r="H148" s="7"/>
      <c r="I148" s="7"/>
      <c r="J148" s="7"/>
      <c r="K148" s="7"/>
      <c r="L148" s="7"/>
      <c r="M148" s="7"/>
    </row>
    <row r="149" spans="3:13" x14ac:dyDescent="0.3">
      <c r="C149" s="6"/>
      <c r="D149" s="7"/>
      <c r="E149" s="7"/>
      <c r="F149" s="6"/>
      <c r="G149" s="7"/>
      <c r="H149" s="7"/>
      <c r="I149" s="7"/>
      <c r="J149" s="7"/>
      <c r="K149" s="7"/>
      <c r="L149" s="7"/>
      <c r="M149" s="7"/>
    </row>
    <row r="150" spans="3:13" x14ac:dyDescent="0.3">
      <c r="C150" s="6"/>
      <c r="D150" s="7"/>
      <c r="E150" s="7"/>
      <c r="F150" s="6"/>
      <c r="G150" s="7"/>
      <c r="H150" s="7"/>
      <c r="I150" s="7"/>
      <c r="J150" s="7"/>
      <c r="K150" s="7"/>
      <c r="L150" s="7"/>
      <c r="M150" s="7"/>
    </row>
    <row r="151" spans="3:13" x14ac:dyDescent="0.3">
      <c r="C151" s="6"/>
      <c r="D151" s="7"/>
      <c r="E151" s="7"/>
      <c r="F151" s="6"/>
      <c r="G151" s="7"/>
      <c r="H151" s="7"/>
      <c r="I151" s="7"/>
      <c r="J151" s="7"/>
      <c r="K151" s="7"/>
      <c r="L151" s="7"/>
      <c r="M151" s="7"/>
    </row>
    <row r="152" spans="3:13" x14ac:dyDescent="0.3">
      <c r="C152" s="6"/>
      <c r="D152" s="7"/>
      <c r="E152" s="7"/>
      <c r="F152" s="6"/>
      <c r="G152" s="7"/>
      <c r="H152" s="7"/>
      <c r="I152" s="7"/>
      <c r="J152" s="7"/>
      <c r="K152" s="7"/>
      <c r="L152" s="7"/>
      <c r="M152" s="7"/>
    </row>
  </sheetData>
  <conditionalFormatting sqref="D3">
    <cfRule type="cellIs" dxfId="2" priority="5" operator="greaterThan">
      <formula>4</formula>
    </cfRule>
  </conditionalFormatting>
  <conditionalFormatting sqref="D6">
    <cfRule type="containsText" dxfId="1" priority="3" operator="containsText" text="NĒ">
      <formula>NOT(ISERROR(SEARCH("NĒ",D6)))</formula>
    </cfRule>
    <cfRule type="containsText" dxfId="0" priority="4" operator="containsText" text="Nē">
      <formula>NOT(ISERROR(SEARCH("Nē",D6)))</formula>
    </cfRule>
  </conditionalFormatting>
  <printOptions horizontalCentered="1"/>
  <pageMargins left="0.11811023622047245" right="0.11811023622047245" top="0.74803149606299213" bottom="0.74803149606299213" header="0.31496062992125984" footer="0.31496062992125984"/>
  <pageSetup paperSize="9" scale="57" orientation="landscape" horizontalDpi="4294967294"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EBFC-8311-4381-8BC5-637427558B4E}">
  <dimension ref="A2:P52"/>
  <sheetViews>
    <sheetView workbookViewId="0">
      <selection activeCell="D25" sqref="D25"/>
    </sheetView>
  </sheetViews>
  <sheetFormatPr defaultRowHeight="14.4" x14ac:dyDescent="0.3"/>
  <cols>
    <col min="1" max="1" width="33" customWidth="1"/>
    <col min="14" max="14" width="9.5546875" bestFit="1" customWidth="1"/>
  </cols>
  <sheetData>
    <row r="2" spans="1:16" x14ac:dyDescent="0.3">
      <c r="A2" s="227"/>
      <c r="B2" s="621" t="s">
        <v>217</v>
      </c>
      <c r="C2" s="621"/>
      <c r="D2" s="621"/>
      <c r="E2" s="621"/>
      <c r="F2" s="622">
        <f>'2.lapa_Esošā situācija'!D4</f>
        <v>0</v>
      </c>
      <c r="G2" s="623"/>
      <c r="H2" s="624"/>
      <c r="I2" s="239"/>
      <c r="J2" s="239"/>
      <c r="K2" s="239"/>
      <c r="L2" s="239"/>
      <c r="M2" s="239"/>
      <c r="N2" s="239"/>
    </row>
    <row r="3" spans="1:16" x14ac:dyDescent="0.3">
      <c r="A3" s="228"/>
      <c r="B3" s="228"/>
      <c r="C3" s="228"/>
      <c r="D3" s="228"/>
      <c r="E3" s="228"/>
      <c r="F3" s="228"/>
      <c r="G3" s="228"/>
      <c r="H3" s="228"/>
      <c r="I3" s="228"/>
      <c r="J3" s="228"/>
      <c r="K3" s="228"/>
      <c r="L3" s="228"/>
      <c r="M3" s="228"/>
      <c r="N3" s="228"/>
    </row>
    <row r="4" spans="1:16" ht="27.6" x14ac:dyDescent="0.3">
      <c r="A4" s="240" t="s">
        <v>210</v>
      </c>
      <c r="B4" s="241" t="s">
        <v>42</v>
      </c>
      <c r="C4" s="241" t="s">
        <v>43</v>
      </c>
      <c r="D4" s="241" t="s">
        <v>44</v>
      </c>
      <c r="E4" s="241" t="s">
        <v>45</v>
      </c>
      <c r="F4" s="241" t="s">
        <v>46</v>
      </c>
      <c r="G4" s="241" t="s">
        <v>47</v>
      </c>
      <c r="H4" s="241" t="s">
        <v>48</v>
      </c>
      <c r="I4" s="241" t="s">
        <v>49</v>
      </c>
      <c r="J4" s="241" t="s">
        <v>50</v>
      </c>
      <c r="K4" s="241" t="s">
        <v>51</v>
      </c>
      <c r="L4" s="241" t="s">
        <v>52</v>
      </c>
      <c r="M4" s="241" t="s">
        <v>53</v>
      </c>
      <c r="N4" s="242" t="s">
        <v>218</v>
      </c>
    </row>
    <row r="5" spans="1:16" ht="16.2" x14ac:dyDescent="0.3">
      <c r="A5" s="240" t="s">
        <v>243</v>
      </c>
      <c r="B5" s="243" t="e">
        <f>VLOOKUP($F$2,$A$26:$M$47,2,FALSE)</f>
        <v>#N/A</v>
      </c>
      <c r="C5" s="243" t="e">
        <f>VLOOKUP($F$2,$A$26:$M$47,3,FALSE)</f>
        <v>#N/A</v>
      </c>
      <c r="D5" s="243" t="e">
        <f>VLOOKUP($F$2,$A$26:$M$47,4,FALSE)</f>
        <v>#N/A</v>
      </c>
      <c r="E5" s="243" t="e">
        <f>VLOOKUP($F$2,$A$26:$M$47,5,FALSE)</f>
        <v>#N/A</v>
      </c>
      <c r="F5" s="243" t="e">
        <f>VLOOKUP($F$2,$A$26:$M$47,6,FALSE)</f>
        <v>#N/A</v>
      </c>
      <c r="G5" s="243" t="e">
        <f>VLOOKUP($F$2,$A$26:$M$47,7,FALSE)</f>
        <v>#N/A</v>
      </c>
      <c r="H5" s="243" t="e">
        <f>VLOOKUP($F$2,$A$26:$M$47,8,FALSE)</f>
        <v>#N/A</v>
      </c>
      <c r="I5" s="243" t="e">
        <f>VLOOKUP($F$2,$A$26:$M$47,9,FALSE)</f>
        <v>#N/A</v>
      </c>
      <c r="J5" s="243" t="e">
        <f>VLOOKUP($F$2,$A$26:$M$47,10,FALSE)</f>
        <v>#N/A</v>
      </c>
      <c r="K5" s="243" t="e">
        <f>VLOOKUP($F$2,$A$26:$M$47,11,FALSE)</f>
        <v>#N/A</v>
      </c>
      <c r="L5" s="243" t="e">
        <f>VLOOKUP($F$2,$A$26:$M$47,12,FALSE)</f>
        <v>#N/A</v>
      </c>
      <c r="M5" s="243" t="e">
        <f>VLOOKUP($F$2,$A$26:$M$47,13,FALSE)</f>
        <v>#N/A</v>
      </c>
      <c r="N5" s="244" t="e">
        <f>SUM(B5:M5)</f>
        <v>#N/A</v>
      </c>
    </row>
    <row r="6" spans="1:16" ht="16.2" hidden="1" x14ac:dyDescent="0.3">
      <c r="A6" s="229" t="s">
        <v>219</v>
      </c>
      <c r="B6" s="230" t="e">
        <f>[1]Klimats!#REF!</f>
        <v>#REF!</v>
      </c>
      <c r="C6" s="231" t="e">
        <f>[1]Klimats!#REF!</f>
        <v>#REF!</v>
      </c>
      <c r="D6" s="231" t="e">
        <f>[1]Klimats!#REF!</f>
        <v>#REF!</v>
      </c>
      <c r="E6" s="231" t="e">
        <f>[1]Klimats!#REF!</f>
        <v>#REF!</v>
      </c>
      <c r="F6" s="231" t="e">
        <f>[1]Klimats!#REF!</f>
        <v>#REF!</v>
      </c>
      <c r="G6" s="231" t="e">
        <f>[1]Klimats!#REF!</f>
        <v>#REF!</v>
      </c>
      <c r="H6" s="231" t="e">
        <f>[1]Klimats!#REF!</f>
        <v>#REF!</v>
      </c>
      <c r="I6" s="231" t="e">
        <f>[1]Klimats!#REF!</f>
        <v>#REF!</v>
      </c>
      <c r="J6" s="231" t="e">
        <f>[1]Klimats!#REF!</f>
        <v>#REF!</v>
      </c>
      <c r="K6" s="231" t="e">
        <f>[1]Klimats!#REF!</f>
        <v>#REF!</v>
      </c>
      <c r="L6" s="231" t="e">
        <f>[1]Klimats!#REF!</f>
        <v>#REF!</v>
      </c>
      <c r="M6" s="231" t="e">
        <f>[1]Klimats!#REF!</f>
        <v>#REF!</v>
      </c>
      <c r="N6" s="232" t="e">
        <f>SUMPRODUCT($T$59:$AE$59,B6:M6)/$AF$59</f>
        <v>#REF!</v>
      </c>
    </row>
    <row r="7" spans="1:16" ht="15" hidden="1" thickBot="1" x14ac:dyDescent="0.35">
      <c r="A7" s="233" t="s">
        <v>220</v>
      </c>
      <c r="B7" s="234" t="e">
        <f>[1]Klimats!#REF!</f>
        <v>#REF!</v>
      </c>
      <c r="C7" s="235" t="e">
        <f>[1]Klimats!#REF!</f>
        <v>#REF!</v>
      </c>
      <c r="D7" s="235" t="e">
        <f>[1]Klimats!#REF!</f>
        <v>#REF!</v>
      </c>
      <c r="E7" s="235" t="e">
        <f>[1]Klimats!#REF!</f>
        <v>#REF!</v>
      </c>
      <c r="F7" s="235" t="e">
        <f>[1]Klimats!#REF!</f>
        <v>#REF!</v>
      </c>
      <c r="G7" s="235" t="e">
        <f>[1]Klimats!#REF!</f>
        <v>#REF!</v>
      </c>
      <c r="H7" s="235" t="e">
        <f>[1]Klimats!#REF!</f>
        <v>#REF!</v>
      </c>
      <c r="I7" s="235" t="e">
        <f>[1]Klimats!#REF!</f>
        <v>#REF!</v>
      </c>
      <c r="J7" s="235" t="e">
        <f>[1]Klimats!#REF!</f>
        <v>#REF!</v>
      </c>
      <c r="K7" s="235" t="e">
        <f>[1]Klimats!#REF!</f>
        <v>#REF!</v>
      </c>
      <c r="L7" s="235" t="e">
        <f>[1]Klimats!#REF!</f>
        <v>#REF!</v>
      </c>
      <c r="M7" s="235" t="e">
        <f>[1]Klimats!#REF!</f>
        <v>#REF!</v>
      </c>
      <c r="N7" s="236" t="e">
        <f>SUMPRODUCT($T$59:$AE$59,B7:M7)/$AF$59</f>
        <v>#REF!</v>
      </c>
    </row>
    <row r="8" spans="1:16" x14ac:dyDescent="0.3">
      <c r="A8" s="237"/>
      <c r="B8" s="219"/>
      <c r="C8" s="219"/>
      <c r="D8" s="219"/>
      <c r="E8" s="219"/>
      <c r="F8" s="219"/>
      <c r="G8" s="219"/>
      <c r="H8" s="219"/>
      <c r="I8" s="219"/>
      <c r="J8" s="219"/>
      <c r="K8" s="219"/>
      <c r="L8" s="219"/>
      <c r="M8" s="219"/>
      <c r="N8" s="219"/>
    </row>
    <row r="9" spans="1:16" ht="15" thickBot="1" x14ac:dyDescent="0.35">
      <c r="A9" s="219"/>
      <c r="B9" s="625" t="s">
        <v>246</v>
      </c>
      <c r="C9" s="625"/>
      <c r="D9" s="625"/>
      <c r="E9" s="625"/>
      <c r="F9" s="625"/>
      <c r="G9" s="625"/>
      <c r="H9" s="625"/>
      <c r="I9" s="625"/>
      <c r="J9" s="625"/>
      <c r="K9" s="625"/>
      <c r="L9" s="625"/>
      <c r="M9" s="625"/>
      <c r="N9" s="625"/>
    </row>
    <row r="10" spans="1:16" ht="15" thickTop="1" x14ac:dyDescent="0.3">
      <c r="A10" s="220" t="s">
        <v>210</v>
      </c>
      <c r="B10" s="295" t="str">
        <f t="shared" ref="B10:M10" si="0">B4</f>
        <v>janv</v>
      </c>
      <c r="C10" s="295" t="str">
        <f t="shared" si="0"/>
        <v>febr</v>
      </c>
      <c r="D10" s="295" t="str">
        <f t="shared" si="0"/>
        <v>marts</v>
      </c>
      <c r="E10" s="295" t="str">
        <f t="shared" si="0"/>
        <v>apr</v>
      </c>
      <c r="F10" s="295" t="str">
        <f t="shared" si="0"/>
        <v>maijs</v>
      </c>
      <c r="G10" s="295" t="str">
        <f t="shared" si="0"/>
        <v>jūn</v>
      </c>
      <c r="H10" s="295" t="str">
        <f t="shared" si="0"/>
        <v>jūl</v>
      </c>
      <c r="I10" s="295" t="str">
        <f t="shared" si="0"/>
        <v>aug</v>
      </c>
      <c r="J10" s="295" t="str">
        <f t="shared" si="0"/>
        <v>sept</v>
      </c>
      <c r="K10" s="295" t="str">
        <f t="shared" si="0"/>
        <v>okt</v>
      </c>
      <c r="L10" s="295" t="str">
        <f t="shared" si="0"/>
        <v>nov</v>
      </c>
      <c r="M10" s="295" t="str">
        <f t="shared" si="0"/>
        <v>dec</v>
      </c>
      <c r="N10" s="295" t="s">
        <v>211</v>
      </c>
    </row>
    <row r="11" spans="1:16" x14ac:dyDescent="0.3">
      <c r="A11" s="294" t="s">
        <v>245</v>
      </c>
      <c r="B11" s="299" t="str">
        <f>IFERROR($N$11*B50,"")</f>
        <v/>
      </c>
      <c r="C11" s="300" t="str">
        <f t="shared" ref="C11:M11" si="1">IFERROR($N$11*C50,"")</f>
        <v/>
      </c>
      <c r="D11" s="300" t="str">
        <f t="shared" si="1"/>
        <v/>
      </c>
      <c r="E11" s="300" t="str">
        <f t="shared" si="1"/>
        <v/>
      </c>
      <c r="F11" s="300" t="str">
        <f t="shared" si="1"/>
        <v/>
      </c>
      <c r="G11" s="300" t="str">
        <f t="shared" si="1"/>
        <v/>
      </c>
      <c r="H11" s="300" t="str">
        <f t="shared" si="1"/>
        <v/>
      </c>
      <c r="I11" s="300" t="str">
        <f t="shared" si="1"/>
        <v/>
      </c>
      <c r="J11" s="300" t="str">
        <f t="shared" si="1"/>
        <v/>
      </c>
      <c r="K11" s="300" t="str">
        <f t="shared" si="1"/>
        <v/>
      </c>
      <c r="L11" s="300" t="str">
        <f t="shared" si="1"/>
        <v/>
      </c>
      <c r="M11" s="300" t="str">
        <f t="shared" si="1"/>
        <v/>
      </c>
      <c r="N11" s="329" t="str">
        <f>'5.lapa_Energoefektivitate'!G47</f>
        <v/>
      </c>
      <c r="P11" s="238">
        <f t="shared" ref="P11:P13" si="2">SUM(B11:M11)</f>
        <v>0</v>
      </c>
    </row>
    <row r="12" spans="1:16" x14ac:dyDescent="0.3">
      <c r="A12" s="294" t="s">
        <v>381</v>
      </c>
      <c r="B12" s="301">
        <f>IFERROR($N$12/12,"")</f>
        <v>0</v>
      </c>
      <c r="C12" s="297">
        <f t="shared" ref="C12:M12" si="3">IFERROR($N$12/12,"")</f>
        <v>0</v>
      </c>
      <c r="D12" s="297">
        <f t="shared" si="3"/>
        <v>0</v>
      </c>
      <c r="E12" s="297">
        <f t="shared" si="3"/>
        <v>0</v>
      </c>
      <c r="F12" s="297">
        <f t="shared" si="3"/>
        <v>0</v>
      </c>
      <c r="G12" s="297">
        <f t="shared" si="3"/>
        <v>0</v>
      </c>
      <c r="H12" s="297">
        <f t="shared" si="3"/>
        <v>0</v>
      </c>
      <c r="I12" s="297">
        <f t="shared" si="3"/>
        <v>0</v>
      </c>
      <c r="J12" s="297">
        <f t="shared" si="3"/>
        <v>0</v>
      </c>
      <c r="K12" s="297">
        <f t="shared" si="3"/>
        <v>0</v>
      </c>
      <c r="L12" s="297">
        <f t="shared" si="3"/>
        <v>0</v>
      </c>
      <c r="M12" s="297">
        <f t="shared" si="3"/>
        <v>0</v>
      </c>
      <c r="N12" s="330">
        <f>('5.lapa_Energoefektivitate'!E54+'5.lapa_Energoefektivitate'!F54)</f>
        <v>0</v>
      </c>
      <c r="P12" s="238">
        <f t="shared" si="2"/>
        <v>0</v>
      </c>
    </row>
    <row r="13" spans="1:16" x14ac:dyDescent="0.3">
      <c r="A13" s="294" t="s">
        <v>212</v>
      </c>
      <c r="B13" s="302">
        <f>IFERROR($N$13/12,"")</f>
        <v>0</v>
      </c>
      <c r="C13" s="298">
        <f t="shared" ref="C13:M13" si="4">IFERROR($N$13/12,"")</f>
        <v>0</v>
      </c>
      <c r="D13" s="298">
        <f t="shared" si="4"/>
        <v>0</v>
      </c>
      <c r="E13" s="298">
        <f t="shared" si="4"/>
        <v>0</v>
      </c>
      <c r="F13" s="298">
        <f t="shared" si="4"/>
        <v>0</v>
      </c>
      <c r="G13" s="298">
        <f t="shared" si="4"/>
        <v>0</v>
      </c>
      <c r="H13" s="298">
        <f t="shared" si="4"/>
        <v>0</v>
      </c>
      <c r="I13" s="298">
        <f t="shared" si="4"/>
        <v>0</v>
      </c>
      <c r="J13" s="298">
        <f t="shared" si="4"/>
        <v>0</v>
      </c>
      <c r="K13" s="298">
        <f t="shared" si="4"/>
        <v>0</v>
      </c>
      <c r="L13" s="298">
        <f t="shared" si="4"/>
        <v>0</v>
      </c>
      <c r="M13" s="298">
        <f t="shared" si="4"/>
        <v>0</v>
      </c>
      <c r="N13" s="330">
        <f>('5.lapa_Energoefektivitate'!E56+'5.lapa_Energoefektivitate'!F56)</f>
        <v>0</v>
      </c>
      <c r="P13" s="238">
        <f t="shared" si="2"/>
        <v>0</v>
      </c>
    </row>
    <row r="14" spans="1:16" x14ac:dyDescent="0.3">
      <c r="A14" s="294" t="s">
        <v>213</v>
      </c>
      <c r="B14" s="302">
        <f>IFERROR($N$14/12,"")</f>
        <v>0</v>
      </c>
      <c r="C14" s="298">
        <f>B14</f>
        <v>0</v>
      </c>
      <c r="D14" s="298">
        <f t="shared" ref="D14:M14" si="5">C14</f>
        <v>0</v>
      </c>
      <c r="E14" s="298">
        <f t="shared" si="5"/>
        <v>0</v>
      </c>
      <c r="F14" s="298">
        <f t="shared" si="5"/>
        <v>0</v>
      </c>
      <c r="G14" s="298">
        <f t="shared" si="5"/>
        <v>0</v>
      </c>
      <c r="H14" s="298">
        <f t="shared" si="5"/>
        <v>0</v>
      </c>
      <c r="I14" s="298">
        <f t="shared" si="5"/>
        <v>0</v>
      </c>
      <c r="J14" s="298">
        <f t="shared" si="5"/>
        <v>0</v>
      </c>
      <c r="K14" s="298">
        <f t="shared" si="5"/>
        <v>0</v>
      </c>
      <c r="L14" s="298">
        <f t="shared" si="5"/>
        <v>0</v>
      </c>
      <c r="M14" s="298">
        <f t="shared" si="5"/>
        <v>0</v>
      </c>
      <c r="N14" s="330">
        <f>'5.lapa_Energoefektivitate'!E57</f>
        <v>0</v>
      </c>
      <c r="P14" s="238">
        <f>SUM(B14:M14)</f>
        <v>0</v>
      </c>
    </row>
    <row r="15" spans="1:16" x14ac:dyDescent="0.3">
      <c r="A15" s="294" t="s">
        <v>382</v>
      </c>
      <c r="B15" s="303">
        <f>IF($N$15=0,0,$N$15*B52)</f>
        <v>0</v>
      </c>
      <c r="C15" s="304">
        <f t="shared" ref="C15:M15" si="6">IF($N$15=0,0,$N$15*C52)</f>
        <v>0</v>
      </c>
      <c r="D15" s="304">
        <f t="shared" si="6"/>
        <v>0</v>
      </c>
      <c r="E15" s="304">
        <f t="shared" si="6"/>
        <v>0</v>
      </c>
      <c r="F15" s="304">
        <f t="shared" si="6"/>
        <v>0</v>
      </c>
      <c r="G15" s="304">
        <f t="shared" si="6"/>
        <v>0</v>
      </c>
      <c r="H15" s="304">
        <f t="shared" si="6"/>
        <v>0</v>
      </c>
      <c r="I15" s="304">
        <f t="shared" si="6"/>
        <v>0</v>
      </c>
      <c r="J15" s="304">
        <f t="shared" si="6"/>
        <v>0</v>
      </c>
      <c r="K15" s="304">
        <f t="shared" si="6"/>
        <v>0</v>
      </c>
      <c r="L15" s="304">
        <f t="shared" si="6"/>
        <v>0</v>
      </c>
      <c r="M15" s="304">
        <f t="shared" si="6"/>
        <v>0</v>
      </c>
      <c r="N15" s="296">
        <f>('5.lapa_Energoefektivitate'!E58+'5.lapa_Energoefektivitate'!F58)</f>
        <v>0</v>
      </c>
      <c r="P15" s="238">
        <f>SUM(B15:M15)</f>
        <v>0</v>
      </c>
    </row>
    <row r="16" spans="1:16" x14ac:dyDescent="0.3">
      <c r="A16" s="221" t="s">
        <v>383</v>
      </c>
      <c r="B16" s="333">
        <f>SUM(B11:B15)</f>
        <v>0</v>
      </c>
      <c r="C16" s="333">
        <f t="shared" ref="C16:M16" si="7">SUM(C11:C15)</f>
        <v>0</v>
      </c>
      <c r="D16" s="333">
        <f t="shared" si="7"/>
        <v>0</v>
      </c>
      <c r="E16" s="333">
        <f t="shared" si="7"/>
        <v>0</v>
      </c>
      <c r="F16" s="333">
        <f t="shared" si="7"/>
        <v>0</v>
      </c>
      <c r="G16" s="333">
        <f t="shared" si="7"/>
        <v>0</v>
      </c>
      <c r="H16" s="333">
        <f t="shared" si="7"/>
        <v>0</v>
      </c>
      <c r="I16" s="333">
        <f t="shared" si="7"/>
        <v>0</v>
      </c>
      <c r="J16" s="333">
        <f t="shared" si="7"/>
        <v>0</v>
      </c>
      <c r="K16" s="333">
        <f t="shared" si="7"/>
        <v>0</v>
      </c>
      <c r="L16" s="333">
        <f t="shared" si="7"/>
        <v>0</v>
      </c>
      <c r="M16" s="333">
        <f t="shared" si="7"/>
        <v>0</v>
      </c>
      <c r="N16" s="334">
        <f t="shared" ref="N16:N20" si="8">SUM(B16:M16)</f>
        <v>0</v>
      </c>
    </row>
    <row r="17" spans="1:14" x14ac:dyDescent="0.3">
      <c r="A17" s="221" t="s">
        <v>214</v>
      </c>
      <c r="B17" s="222" t="e">
        <f>B5*'5.lapa_Energoefektivitate'!$L$67</f>
        <v>#N/A</v>
      </c>
      <c r="C17" s="222" t="e">
        <f>C5*'5.lapa_Energoefektivitate'!$L$67</f>
        <v>#N/A</v>
      </c>
      <c r="D17" s="222" t="e">
        <f>D5*'5.lapa_Energoefektivitate'!$L$67</f>
        <v>#N/A</v>
      </c>
      <c r="E17" s="222" t="e">
        <f>E5*'5.lapa_Energoefektivitate'!$L$67</f>
        <v>#N/A</v>
      </c>
      <c r="F17" s="222" t="e">
        <f>F5*'5.lapa_Energoefektivitate'!$L$67</f>
        <v>#N/A</v>
      </c>
      <c r="G17" s="222" t="e">
        <f>G5*'5.lapa_Energoefektivitate'!$L$67</f>
        <v>#N/A</v>
      </c>
      <c r="H17" s="222" t="e">
        <f>H5*'5.lapa_Energoefektivitate'!$L$67</f>
        <v>#N/A</v>
      </c>
      <c r="I17" s="222" t="e">
        <f>I5*'5.lapa_Energoefektivitate'!$L$67</f>
        <v>#N/A</v>
      </c>
      <c r="J17" s="222" t="e">
        <f>J5*'5.lapa_Energoefektivitate'!$L$67</f>
        <v>#N/A</v>
      </c>
      <c r="K17" s="222" t="e">
        <f>K5*'5.lapa_Energoefektivitate'!$L$67</f>
        <v>#N/A</v>
      </c>
      <c r="L17" s="222" t="e">
        <f>L5*'5.lapa_Energoefektivitate'!$L$67</f>
        <v>#N/A</v>
      </c>
      <c r="M17" s="222" t="e">
        <f>M5*'5.lapa_Energoefektivitate'!$L$67</f>
        <v>#N/A</v>
      </c>
      <c r="N17" s="223" t="e">
        <f t="shared" si="8"/>
        <v>#N/A</v>
      </c>
    </row>
    <row r="18" spans="1:14" x14ac:dyDescent="0.3">
      <c r="A18" s="335" t="s">
        <v>385</v>
      </c>
      <c r="B18" s="222" t="e">
        <f>IF(B17&gt;B16,B16,B17)</f>
        <v>#N/A</v>
      </c>
      <c r="C18" s="222" t="e">
        <f t="shared" ref="C18:M18" si="9">IF(C17&gt;C16,C16,C17)</f>
        <v>#N/A</v>
      </c>
      <c r="D18" s="222" t="e">
        <f t="shared" si="9"/>
        <v>#N/A</v>
      </c>
      <c r="E18" s="222" t="e">
        <f t="shared" si="9"/>
        <v>#N/A</v>
      </c>
      <c r="F18" s="222" t="e">
        <f t="shared" si="9"/>
        <v>#N/A</v>
      </c>
      <c r="G18" s="222" t="e">
        <f t="shared" si="9"/>
        <v>#N/A</v>
      </c>
      <c r="H18" s="222" t="e">
        <f t="shared" si="9"/>
        <v>#N/A</v>
      </c>
      <c r="I18" s="222" t="e">
        <f t="shared" si="9"/>
        <v>#N/A</v>
      </c>
      <c r="J18" s="222" t="e">
        <f t="shared" si="9"/>
        <v>#N/A</v>
      </c>
      <c r="K18" s="222" t="e">
        <f t="shared" si="9"/>
        <v>#N/A</v>
      </c>
      <c r="L18" s="222" t="e">
        <f t="shared" si="9"/>
        <v>#N/A</v>
      </c>
      <c r="M18" s="222" t="e">
        <f t="shared" si="9"/>
        <v>#N/A</v>
      </c>
      <c r="N18" s="336" t="e">
        <f t="shared" si="8"/>
        <v>#N/A</v>
      </c>
    </row>
    <row r="19" spans="1:14" x14ac:dyDescent="0.3">
      <c r="A19" s="221" t="s">
        <v>215</v>
      </c>
      <c r="B19" s="222" t="e">
        <f>B17-B18</f>
        <v>#N/A</v>
      </c>
      <c r="C19" s="222" t="e">
        <f t="shared" ref="C19:M19" si="10">C17-C18</f>
        <v>#N/A</v>
      </c>
      <c r="D19" s="222" t="e">
        <f t="shared" si="10"/>
        <v>#N/A</v>
      </c>
      <c r="E19" s="222" t="e">
        <f t="shared" si="10"/>
        <v>#N/A</v>
      </c>
      <c r="F19" s="222" t="e">
        <f t="shared" si="10"/>
        <v>#N/A</v>
      </c>
      <c r="G19" s="222" t="e">
        <f t="shared" si="10"/>
        <v>#N/A</v>
      </c>
      <c r="H19" s="222" t="e">
        <f t="shared" si="10"/>
        <v>#N/A</v>
      </c>
      <c r="I19" s="222" t="e">
        <f t="shared" si="10"/>
        <v>#N/A</v>
      </c>
      <c r="J19" s="222" t="e">
        <f t="shared" si="10"/>
        <v>#N/A</v>
      </c>
      <c r="K19" s="222" t="e">
        <f t="shared" si="10"/>
        <v>#N/A</v>
      </c>
      <c r="L19" s="222" t="e">
        <f t="shared" si="10"/>
        <v>#N/A</v>
      </c>
      <c r="M19" s="222" t="e">
        <f t="shared" si="10"/>
        <v>#N/A</v>
      </c>
      <c r="N19" s="223" t="e">
        <f t="shared" si="8"/>
        <v>#N/A</v>
      </c>
    </row>
    <row r="20" spans="1:14" ht="15" thickBot="1" x14ac:dyDescent="0.35">
      <c r="A20" s="224" t="s">
        <v>216</v>
      </c>
      <c r="B20" s="225" t="e">
        <f>IF(B17&lt;B16,B16-B17,0)</f>
        <v>#N/A</v>
      </c>
      <c r="C20" s="225" t="e">
        <f t="shared" ref="C20:M20" si="11">IF(C17&lt;C16,C16-C17,0)</f>
        <v>#N/A</v>
      </c>
      <c r="D20" s="225" t="e">
        <f t="shared" si="11"/>
        <v>#N/A</v>
      </c>
      <c r="E20" s="225" t="e">
        <f t="shared" si="11"/>
        <v>#N/A</v>
      </c>
      <c r="F20" s="225" t="e">
        <f t="shared" si="11"/>
        <v>#N/A</v>
      </c>
      <c r="G20" s="225" t="e">
        <f t="shared" si="11"/>
        <v>#N/A</v>
      </c>
      <c r="H20" s="225" t="e">
        <f t="shared" si="11"/>
        <v>#N/A</v>
      </c>
      <c r="I20" s="225" t="e">
        <f t="shared" si="11"/>
        <v>#N/A</v>
      </c>
      <c r="J20" s="225" t="e">
        <f t="shared" si="11"/>
        <v>#N/A</v>
      </c>
      <c r="K20" s="225" t="e">
        <f t="shared" si="11"/>
        <v>#N/A</v>
      </c>
      <c r="L20" s="225" t="e">
        <f t="shared" si="11"/>
        <v>#N/A</v>
      </c>
      <c r="M20" s="225" t="e">
        <f t="shared" si="11"/>
        <v>#N/A</v>
      </c>
      <c r="N20" s="226" t="e">
        <f t="shared" si="8"/>
        <v>#N/A</v>
      </c>
    </row>
    <row r="21" spans="1:14" ht="15" thickTop="1" x14ac:dyDescent="0.3"/>
    <row r="25" spans="1:14" ht="80.400000000000006" customHeight="1" x14ac:dyDescent="0.3"/>
    <row r="26" spans="1:14" x14ac:dyDescent="0.3">
      <c r="A26" t="s">
        <v>221</v>
      </c>
      <c r="B26">
        <v>9.61</v>
      </c>
      <c r="C26">
        <v>23.8</v>
      </c>
      <c r="D26">
        <v>64.17</v>
      </c>
      <c r="E26">
        <v>112.5</v>
      </c>
      <c r="F26">
        <v>168.32999999999998</v>
      </c>
      <c r="G26">
        <v>173.7</v>
      </c>
      <c r="H26">
        <v>175.15</v>
      </c>
      <c r="I26">
        <v>137.32999999999998</v>
      </c>
      <c r="J26">
        <v>81.600000000000009</v>
      </c>
      <c r="K26">
        <v>37.199999999999996</v>
      </c>
      <c r="L26">
        <v>11.700000000000001</v>
      </c>
      <c r="M26">
        <v>5.89</v>
      </c>
      <c r="N26" s="238">
        <f>SUM(B26:M26)</f>
        <v>1000.98</v>
      </c>
    </row>
    <row r="27" spans="1:14" x14ac:dyDescent="0.3">
      <c r="A27" t="s">
        <v>222</v>
      </c>
      <c r="B27">
        <v>9.92</v>
      </c>
      <c r="C27">
        <v>24.64</v>
      </c>
      <c r="D27">
        <v>62.309999999999995</v>
      </c>
      <c r="E27">
        <v>104.7</v>
      </c>
      <c r="F27">
        <v>151.9</v>
      </c>
      <c r="G27">
        <v>158.4</v>
      </c>
      <c r="H27">
        <v>161.51</v>
      </c>
      <c r="I27">
        <v>127.72</v>
      </c>
      <c r="J27">
        <v>75.3</v>
      </c>
      <c r="K27">
        <v>34.720000000000006</v>
      </c>
      <c r="L27">
        <v>12</v>
      </c>
      <c r="M27">
        <v>5.89</v>
      </c>
      <c r="N27" s="238">
        <f t="shared" ref="N27:N47" si="12">SUM(B27:M27)</f>
        <v>929.01</v>
      </c>
    </row>
    <row r="28" spans="1:14" x14ac:dyDescent="0.3">
      <c r="A28" t="s">
        <v>223</v>
      </c>
      <c r="B28">
        <v>10.85</v>
      </c>
      <c r="C28">
        <v>24.36</v>
      </c>
      <c r="D28">
        <v>62</v>
      </c>
      <c r="E28">
        <v>110.7</v>
      </c>
      <c r="F28">
        <v>160.57999999999998</v>
      </c>
      <c r="G28">
        <v>167.10000000000002</v>
      </c>
      <c r="H28">
        <v>168.95000000000002</v>
      </c>
      <c r="I28">
        <v>135.78</v>
      </c>
      <c r="J28">
        <v>83.7</v>
      </c>
      <c r="K28">
        <v>43.4</v>
      </c>
      <c r="L28">
        <v>14.399999999999999</v>
      </c>
      <c r="M28">
        <v>7.13</v>
      </c>
      <c r="N28" s="238">
        <f t="shared" si="12"/>
        <v>988.95</v>
      </c>
    </row>
    <row r="29" spans="1:14" x14ac:dyDescent="0.3">
      <c r="A29" t="s">
        <v>224</v>
      </c>
      <c r="B29">
        <v>12.4</v>
      </c>
      <c r="C29">
        <v>27.16</v>
      </c>
      <c r="D29">
        <v>62.929999999999993</v>
      </c>
      <c r="E29">
        <v>108.60000000000001</v>
      </c>
      <c r="F29">
        <v>157.47999999999999</v>
      </c>
      <c r="G29">
        <v>162.6</v>
      </c>
      <c r="H29">
        <v>164.92000000000002</v>
      </c>
      <c r="I29">
        <v>134.54</v>
      </c>
      <c r="J29">
        <v>81.600000000000009</v>
      </c>
      <c r="K29">
        <v>40.92</v>
      </c>
      <c r="L29">
        <v>14.7</v>
      </c>
      <c r="M29">
        <v>8.06</v>
      </c>
      <c r="N29" s="238">
        <f t="shared" si="12"/>
        <v>975.90999999999985</v>
      </c>
    </row>
    <row r="30" spans="1:14" x14ac:dyDescent="0.3">
      <c r="A30" t="s">
        <v>225</v>
      </c>
      <c r="B30">
        <v>10.540000000000001</v>
      </c>
      <c r="C30">
        <v>24.08</v>
      </c>
      <c r="D30">
        <v>61.69</v>
      </c>
      <c r="E30">
        <v>111.3</v>
      </c>
      <c r="F30">
        <v>161.51</v>
      </c>
      <c r="G30">
        <v>167.7</v>
      </c>
      <c r="H30">
        <v>170.19</v>
      </c>
      <c r="I30">
        <v>136.71</v>
      </c>
      <c r="J30">
        <v>84.9</v>
      </c>
      <c r="K30">
        <v>43.71</v>
      </c>
      <c r="L30">
        <v>14.1</v>
      </c>
      <c r="M30">
        <v>7.13</v>
      </c>
      <c r="N30" s="238">
        <f t="shared" si="12"/>
        <v>993.56000000000006</v>
      </c>
    </row>
    <row r="31" spans="1:14" x14ac:dyDescent="0.3">
      <c r="A31" t="s">
        <v>226</v>
      </c>
      <c r="B31">
        <v>10.540000000000001</v>
      </c>
      <c r="C31">
        <v>25.48</v>
      </c>
      <c r="D31">
        <v>61.69</v>
      </c>
      <c r="E31">
        <v>107.1</v>
      </c>
      <c r="F31">
        <v>155.93</v>
      </c>
      <c r="G31">
        <v>162</v>
      </c>
      <c r="H31">
        <v>164.60999999999999</v>
      </c>
      <c r="I31">
        <v>130.51</v>
      </c>
      <c r="J31">
        <v>77.400000000000006</v>
      </c>
      <c r="K31">
        <v>36.58</v>
      </c>
      <c r="L31">
        <v>12.9</v>
      </c>
      <c r="M31">
        <v>6.51</v>
      </c>
      <c r="N31" s="238">
        <f t="shared" si="12"/>
        <v>951.25</v>
      </c>
    </row>
    <row r="32" spans="1:14" x14ac:dyDescent="0.3">
      <c r="A32" t="s">
        <v>227</v>
      </c>
      <c r="B32">
        <v>10.540000000000001</v>
      </c>
      <c r="C32">
        <v>23.24</v>
      </c>
      <c r="D32">
        <v>61.07</v>
      </c>
      <c r="E32">
        <v>110.4</v>
      </c>
      <c r="F32">
        <v>161.20000000000002</v>
      </c>
      <c r="G32">
        <v>166.79999999999998</v>
      </c>
      <c r="H32">
        <v>168.64000000000001</v>
      </c>
      <c r="I32">
        <v>135.47</v>
      </c>
      <c r="J32">
        <v>83.7</v>
      </c>
      <c r="K32">
        <v>43.089999999999996</v>
      </c>
      <c r="L32">
        <v>14.1</v>
      </c>
      <c r="M32">
        <v>14.569999999999999</v>
      </c>
      <c r="N32" s="238">
        <f t="shared" si="12"/>
        <v>992.82000000000016</v>
      </c>
    </row>
    <row r="33" spans="1:14" x14ac:dyDescent="0.3">
      <c r="A33" t="s">
        <v>228</v>
      </c>
      <c r="B33">
        <v>8.99</v>
      </c>
      <c r="C33">
        <v>21.560000000000002</v>
      </c>
      <c r="D33">
        <v>61.69</v>
      </c>
      <c r="E33">
        <v>112.5</v>
      </c>
      <c r="F33">
        <v>164.92000000000002</v>
      </c>
      <c r="G33">
        <v>171.9</v>
      </c>
      <c r="H33">
        <v>169.57</v>
      </c>
      <c r="I33">
        <v>134.54</v>
      </c>
      <c r="J33">
        <v>79.800000000000011</v>
      </c>
      <c r="K33">
        <v>38.130000000000003</v>
      </c>
      <c r="L33">
        <v>12.299999999999999</v>
      </c>
      <c r="M33">
        <v>5.89</v>
      </c>
      <c r="N33" s="238">
        <f t="shared" si="12"/>
        <v>981.79</v>
      </c>
    </row>
    <row r="34" spans="1:14" x14ac:dyDescent="0.3">
      <c r="A34" t="s">
        <v>229</v>
      </c>
      <c r="B34">
        <v>11.47</v>
      </c>
      <c r="C34">
        <v>25.48</v>
      </c>
      <c r="D34">
        <v>67.89</v>
      </c>
      <c r="E34">
        <v>120</v>
      </c>
      <c r="F34">
        <v>170.19</v>
      </c>
      <c r="G34">
        <v>178.8</v>
      </c>
      <c r="H34">
        <v>175.46</v>
      </c>
      <c r="I34">
        <v>139.5</v>
      </c>
      <c r="J34">
        <v>87.300000000000011</v>
      </c>
      <c r="K34">
        <v>42.779999999999994</v>
      </c>
      <c r="L34">
        <v>15</v>
      </c>
      <c r="M34">
        <v>7.75</v>
      </c>
      <c r="N34" s="238">
        <f t="shared" si="12"/>
        <v>1041.6199999999999</v>
      </c>
    </row>
    <row r="35" spans="1:14" x14ac:dyDescent="0.3">
      <c r="A35" t="s">
        <v>230</v>
      </c>
      <c r="B35">
        <v>9.92</v>
      </c>
      <c r="C35">
        <v>22.400000000000002</v>
      </c>
      <c r="D35">
        <v>62.929999999999993</v>
      </c>
      <c r="E35">
        <v>109.2</v>
      </c>
      <c r="F35">
        <v>158.1</v>
      </c>
      <c r="G35">
        <v>162.6</v>
      </c>
      <c r="H35">
        <v>163.68</v>
      </c>
      <c r="I35">
        <v>131.75</v>
      </c>
      <c r="J35">
        <v>79.5</v>
      </c>
      <c r="K35">
        <v>39.06</v>
      </c>
      <c r="L35">
        <v>13.2</v>
      </c>
      <c r="M35">
        <v>6.82</v>
      </c>
      <c r="N35" s="238">
        <f t="shared" si="12"/>
        <v>959.16</v>
      </c>
    </row>
    <row r="36" spans="1:14" x14ac:dyDescent="0.3">
      <c r="A36" t="s">
        <v>231</v>
      </c>
      <c r="B36">
        <v>11.16</v>
      </c>
      <c r="C36">
        <v>25.48</v>
      </c>
      <c r="D36">
        <v>67.58</v>
      </c>
      <c r="E36">
        <v>116.7</v>
      </c>
      <c r="F36">
        <v>167.09</v>
      </c>
      <c r="G36">
        <v>174.60000000000002</v>
      </c>
      <c r="H36">
        <v>171.11999999999998</v>
      </c>
      <c r="I36">
        <v>135.47</v>
      </c>
      <c r="J36">
        <v>83.7</v>
      </c>
      <c r="K36">
        <v>40.92</v>
      </c>
      <c r="L36">
        <v>14.1</v>
      </c>
      <c r="M36">
        <v>7.13</v>
      </c>
      <c r="N36" s="238">
        <f t="shared" si="12"/>
        <v>1015.0500000000001</v>
      </c>
    </row>
    <row r="37" spans="1:14" x14ac:dyDescent="0.3">
      <c r="A37" t="s">
        <v>232</v>
      </c>
      <c r="B37">
        <v>10.23</v>
      </c>
      <c r="C37">
        <v>24.08</v>
      </c>
      <c r="D37">
        <v>61.69</v>
      </c>
      <c r="E37">
        <v>105.3</v>
      </c>
      <c r="F37">
        <v>153.45000000000002</v>
      </c>
      <c r="G37">
        <v>159</v>
      </c>
      <c r="H37">
        <v>160.89000000000001</v>
      </c>
      <c r="I37">
        <v>129.27000000000001</v>
      </c>
      <c r="J37">
        <v>77.099999999999994</v>
      </c>
      <c r="K37">
        <v>36.89</v>
      </c>
      <c r="L37">
        <v>12.6</v>
      </c>
      <c r="M37">
        <v>6.2</v>
      </c>
      <c r="N37" s="238">
        <f t="shared" si="12"/>
        <v>936.7</v>
      </c>
    </row>
    <row r="38" spans="1:14" x14ac:dyDescent="0.3">
      <c r="A38" t="s">
        <v>233</v>
      </c>
      <c r="B38">
        <v>11.47</v>
      </c>
      <c r="C38">
        <v>26.599999999999998</v>
      </c>
      <c r="D38">
        <v>61.69</v>
      </c>
      <c r="E38">
        <v>107.4</v>
      </c>
      <c r="F38">
        <v>154.69</v>
      </c>
      <c r="G38">
        <v>161.1</v>
      </c>
      <c r="H38">
        <v>163.36999999999998</v>
      </c>
      <c r="I38">
        <v>131.13000000000002</v>
      </c>
      <c r="J38">
        <v>78.600000000000009</v>
      </c>
      <c r="K38">
        <v>38.130000000000003</v>
      </c>
      <c r="L38">
        <v>13.5</v>
      </c>
      <c r="M38">
        <v>7.13</v>
      </c>
      <c r="N38" s="238">
        <f t="shared" si="12"/>
        <v>954.81000000000006</v>
      </c>
    </row>
    <row r="39" spans="1:14" x14ac:dyDescent="0.3">
      <c r="A39" t="s">
        <v>234</v>
      </c>
      <c r="B39">
        <v>10.85</v>
      </c>
      <c r="C39">
        <v>24.64</v>
      </c>
      <c r="D39">
        <v>63.24</v>
      </c>
      <c r="E39">
        <v>110.1</v>
      </c>
      <c r="F39">
        <v>159.96</v>
      </c>
      <c r="G39">
        <v>164.1</v>
      </c>
      <c r="H39">
        <v>166.16</v>
      </c>
      <c r="I39">
        <v>132.99</v>
      </c>
      <c r="J39">
        <v>80.7</v>
      </c>
      <c r="K39">
        <v>40.92</v>
      </c>
      <c r="L39">
        <v>13.5</v>
      </c>
      <c r="M39">
        <v>7.13</v>
      </c>
      <c r="N39" s="238">
        <f t="shared" si="12"/>
        <v>974.29</v>
      </c>
    </row>
    <row r="40" spans="1:14" x14ac:dyDescent="0.3">
      <c r="A40" t="s">
        <v>235</v>
      </c>
      <c r="B40">
        <v>9.2999999999999989</v>
      </c>
      <c r="C40">
        <v>23.24</v>
      </c>
      <c r="D40">
        <v>60.14</v>
      </c>
      <c r="E40">
        <v>106.2</v>
      </c>
      <c r="F40">
        <v>156.54999999999998</v>
      </c>
      <c r="G40">
        <v>163.20000000000002</v>
      </c>
      <c r="H40">
        <v>164.92000000000002</v>
      </c>
      <c r="I40">
        <v>130.20000000000002</v>
      </c>
      <c r="J40">
        <v>77.099999999999994</v>
      </c>
      <c r="K40">
        <v>35.96</v>
      </c>
      <c r="L40">
        <v>11.4</v>
      </c>
      <c r="M40">
        <v>5.58</v>
      </c>
      <c r="N40" s="238">
        <f t="shared" si="12"/>
        <v>943.79000000000008</v>
      </c>
    </row>
    <row r="41" spans="1:14" x14ac:dyDescent="0.3">
      <c r="A41" t="s">
        <v>236</v>
      </c>
      <c r="B41">
        <v>10.85</v>
      </c>
      <c r="C41">
        <v>24.64</v>
      </c>
      <c r="D41">
        <v>62</v>
      </c>
      <c r="E41">
        <v>110.1</v>
      </c>
      <c r="F41">
        <v>157.17000000000002</v>
      </c>
      <c r="G41">
        <v>162</v>
      </c>
      <c r="H41">
        <v>163.36999999999998</v>
      </c>
      <c r="I41">
        <v>132.68</v>
      </c>
      <c r="J41">
        <v>82.5</v>
      </c>
      <c r="K41">
        <v>41.85</v>
      </c>
      <c r="L41">
        <v>13.8</v>
      </c>
      <c r="M41">
        <v>7.4399999999999995</v>
      </c>
      <c r="N41" s="238">
        <f t="shared" si="12"/>
        <v>968.4</v>
      </c>
    </row>
    <row r="42" spans="1:14" x14ac:dyDescent="0.3">
      <c r="A42" t="s">
        <v>237</v>
      </c>
      <c r="B42">
        <v>11.16</v>
      </c>
      <c r="C42">
        <v>25.2</v>
      </c>
      <c r="D42">
        <v>62.62</v>
      </c>
      <c r="E42">
        <v>106.8</v>
      </c>
      <c r="F42">
        <v>154.38000000000002</v>
      </c>
      <c r="G42">
        <v>160.80000000000001</v>
      </c>
      <c r="H42">
        <v>162.75</v>
      </c>
      <c r="I42">
        <v>131.75</v>
      </c>
      <c r="J42">
        <v>78.600000000000009</v>
      </c>
      <c r="K42">
        <v>39.369999999999997</v>
      </c>
      <c r="L42">
        <v>13.5</v>
      </c>
      <c r="M42">
        <v>7.13</v>
      </c>
      <c r="N42" s="238">
        <f t="shared" si="12"/>
        <v>954.06000000000006</v>
      </c>
    </row>
    <row r="43" spans="1:14" x14ac:dyDescent="0.3">
      <c r="A43" t="s">
        <v>238</v>
      </c>
      <c r="B43">
        <v>10.23</v>
      </c>
      <c r="C43">
        <v>24.64</v>
      </c>
      <c r="D43">
        <v>65.100000000000009</v>
      </c>
      <c r="E43">
        <v>111.60000000000001</v>
      </c>
      <c r="F43">
        <v>164.60999999999999</v>
      </c>
      <c r="G43">
        <v>169.5</v>
      </c>
      <c r="H43">
        <v>170.81</v>
      </c>
      <c r="I43">
        <v>135.16</v>
      </c>
      <c r="J43">
        <v>81.600000000000009</v>
      </c>
      <c r="K43">
        <v>39.369999999999997</v>
      </c>
      <c r="L43">
        <v>12.9</v>
      </c>
      <c r="M43">
        <v>6.51</v>
      </c>
      <c r="N43" s="238">
        <f t="shared" si="12"/>
        <v>992.03</v>
      </c>
    </row>
    <row r="44" spans="1:14" x14ac:dyDescent="0.3">
      <c r="A44" t="s">
        <v>239</v>
      </c>
      <c r="B44">
        <v>10.540000000000001</v>
      </c>
      <c r="C44">
        <v>23.52</v>
      </c>
      <c r="D44">
        <v>63.24</v>
      </c>
      <c r="E44">
        <v>110.4</v>
      </c>
      <c r="F44">
        <v>157.17000000000002</v>
      </c>
      <c r="G44">
        <v>162.89999999999998</v>
      </c>
      <c r="H44">
        <v>163.06</v>
      </c>
      <c r="I44">
        <v>132.06</v>
      </c>
      <c r="J44">
        <v>80.7</v>
      </c>
      <c r="K44">
        <v>40.300000000000004</v>
      </c>
      <c r="L44">
        <v>13.2</v>
      </c>
      <c r="M44">
        <v>6.82</v>
      </c>
      <c r="N44" s="238">
        <f t="shared" si="12"/>
        <v>963.91</v>
      </c>
    </row>
    <row r="45" spans="1:14" x14ac:dyDescent="0.3">
      <c r="A45" t="s">
        <v>240</v>
      </c>
      <c r="B45">
        <v>9.92</v>
      </c>
      <c r="C45">
        <v>23.52</v>
      </c>
      <c r="D45">
        <v>65.72</v>
      </c>
      <c r="E45">
        <v>117</v>
      </c>
      <c r="F45">
        <v>168.95000000000002</v>
      </c>
      <c r="G45">
        <v>176.7</v>
      </c>
      <c r="H45">
        <v>174.22</v>
      </c>
      <c r="I45">
        <v>137.64000000000001</v>
      </c>
      <c r="J45">
        <v>83.399999999999991</v>
      </c>
      <c r="K45">
        <v>40.300000000000004</v>
      </c>
      <c r="L45">
        <v>13.2</v>
      </c>
      <c r="M45">
        <v>6.2</v>
      </c>
      <c r="N45" s="238">
        <f t="shared" si="12"/>
        <v>1016.77</v>
      </c>
    </row>
    <row r="46" spans="1:14" x14ac:dyDescent="0.3">
      <c r="A46" t="s">
        <v>241</v>
      </c>
      <c r="B46">
        <v>11.47</v>
      </c>
      <c r="C46">
        <v>25.48</v>
      </c>
      <c r="D46">
        <v>62.62</v>
      </c>
      <c r="E46">
        <v>107.69999999999999</v>
      </c>
      <c r="F46">
        <v>155.31</v>
      </c>
      <c r="G46">
        <v>161.1</v>
      </c>
      <c r="H46">
        <v>163.36999999999998</v>
      </c>
      <c r="I46">
        <v>131.75</v>
      </c>
      <c r="J46">
        <v>78.600000000000009</v>
      </c>
      <c r="K46">
        <v>39.369999999999997</v>
      </c>
      <c r="L46">
        <v>13.8</v>
      </c>
      <c r="M46">
        <v>7.4399999999999995</v>
      </c>
      <c r="N46" s="238">
        <f t="shared" si="12"/>
        <v>958.01</v>
      </c>
    </row>
    <row r="47" spans="1:14" x14ac:dyDescent="0.3">
      <c r="A47" t="s">
        <v>242</v>
      </c>
      <c r="B47">
        <v>10.540000000000001</v>
      </c>
      <c r="C47">
        <v>24.64</v>
      </c>
      <c r="D47">
        <v>62.309999999999995</v>
      </c>
      <c r="E47">
        <v>105.3</v>
      </c>
      <c r="F47">
        <v>153.14000000000001</v>
      </c>
      <c r="G47">
        <v>159</v>
      </c>
      <c r="H47">
        <v>161.20000000000002</v>
      </c>
      <c r="I47">
        <v>128.65</v>
      </c>
      <c r="J47">
        <v>76.5</v>
      </c>
      <c r="K47">
        <v>36.269999999999996</v>
      </c>
      <c r="L47">
        <v>12.299999999999999</v>
      </c>
      <c r="M47">
        <v>6.51</v>
      </c>
      <c r="N47" s="238">
        <f t="shared" si="12"/>
        <v>936.36</v>
      </c>
    </row>
    <row r="49" spans="2:14" x14ac:dyDescent="0.3">
      <c r="B49" s="238">
        <f>'4.lapa_Energoprasiba_apkurei'!C19</f>
        <v>0</v>
      </c>
      <c r="C49" s="238">
        <f>'4.lapa_Energoprasiba_apkurei'!D19</f>
        <v>0</v>
      </c>
      <c r="D49" s="238">
        <f>'4.lapa_Energoprasiba_apkurei'!E19</f>
        <v>0</v>
      </c>
      <c r="E49" s="238">
        <f>'4.lapa_Energoprasiba_apkurei'!F19</f>
        <v>0</v>
      </c>
      <c r="F49" s="238">
        <f>'4.lapa_Energoprasiba_apkurei'!G19</f>
        <v>0</v>
      </c>
      <c r="G49" s="238">
        <f>'4.lapa_Energoprasiba_apkurei'!H19</f>
        <v>0</v>
      </c>
      <c r="H49" s="238">
        <f>'4.lapa_Energoprasiba_apkurei'!I19</f>
        <v>0</v>
      </c>
      <c r="I49" s="238">
        <f>'4.lapa_Energoprasiba_apkurei'!J19</f>
        <v>0</v>
      </c>
      <c r="J49" s="238">
        <f>'4.lapa_Energoprasiba_apkurei'!K19</f>
        <v>0</v>
      </c>
      <c r="K49" s="238">
        <f>'4.lapa_Energoprasiba_apkurei'!L19</f>
        <v>0</v>
      </c>
      <c r="L49" s="238">
        <f>'4.lapa_Energoprasiba_apkurei'!M19</f>
        <v>0</v>
      </c>
      <c r="M49" s="238">
        <f>'4.lapa_Energoprasiba_apkurei'!N19</f>
        <v>0</v>
      </c>
      <c r="N49" s="238">
        <f>SUM(B49:M49)</f>
        <v>0</v>
      </c>
    </row>
    <row r="50" spans="2:14" x14ac:dyDescent="0.3">
      <c r="B50" s="328" t="e">
        <f>B49/$N$49</f>
        <v>#DIV/0!</v>
      </c>
      <c r="C50" s="328" t="e">
        <f t="shared" ref="C50:M50" si="13">C49/$N$49</f>
        <v>#DIV/0!</v>
      </c>
      <c r="D50" s="328" t="e">
        <f t="shared" si="13"/>
        <v>#DIV/0!</v>
      </c>
      <c r="E50" s="328" t="e">
        <f t="shared" si="13"/>
        <v>#DIV/0!</v>
      </c>
      <c r="F50" s="328" t="e">
        <f t="shared" si="13"/>
        <v>#DIV/0!</v>
      </c>
      <c r="G50" s="328" t="e">
        <f t="shared" si="13"/>
        <v>#DIV/0!</v>
      </c>
      <c r="H50" s="328" t="e">
        <f t="shared" si="13"/>
        <v>#DIV/0!</v>
      </c>
      <c r="I50" s="328" t="e">
        <f t="shared" si="13"/>
        <v>#DIV/0!</v>
      </c>
      <c r="J50" s="328" t="e">
        <f t="shared" si="13"/>
        <v>#DIV/0!</v>
      </c>
      <c r="K50" s="328" t="e">
        <f t="shared" si="13"/>
        <v>#DIV/0!</v>
      </c>
      <c r="L50" s="328" t="e">
        <f t="shared" si="13"/>
        <v>#DIV/0!</v>
      </c>
      <c r="M50" s="328" t="e">
        <f t="shared" si="13"/>
        <v>#DIV/0!</v>
      </c>
      <c r="N50" s="238" t="e">
        <f>SUM(B50:M50)</f>
        <v>#DIV/0!</v>
      </c>
    </row>
    <row r="51" spans="2:14" x14ac:dyDescent="0.3">
      <c r="B51">
        <v>3.6146417350525706E-2</v>
      </c>
      <c r="C51">
        <v>7.6279205039020345E-2</v>
      </c>
      <c r="D51">
        <v>0.28064469227002325</v>
      </c>
      <c r="E51">
        <v>0.78384687481672821</v>
      </c>
      <c r="F51">
        <v>1.7446081860138685</v>
      </c>
      <c r="G51">
        <v>2.7434421628880106</v>
      </c>
      <c r="H51">
        <v>4.9010512512828397</v>
      </c>
      <c r="I51">
        <v>3.4253706119911995</v>
      </c>
      <c r="J51">
        <v>1.3396992369508889</v>
      </c>
      <c r="K51">
        <v>0.3331348971895477</v>
      </c>
      <c r="L51">
        <v>6.4177810239405275E-2</v>
      </c>
      <c r="M51">
        <v>3.0176757462524875E-2</v>
      </c>
      <c r="N51">
        <f>SUM(B51:M51)</f>
        <v>15.758578103494582</v>
      </c>
    </row>
    <row r="52" spans="2:14" x14ac:dyDescent="0.3">
      <c r="B52">
        <f>B51/$N$51</f>
        <v>2.2937613478280741E-3</v>
      </c>
      <c r="C52">
        <f t="shared" ref="C52:M52" si="14">C51/$N$51</f>
        <v>4.8404877989661303E-3</v>
      </c>
      <c r="D52">
        <f t="shared" si="14"/>
        <v>1.780901109395068E-2</v>
      </c>
      <c r="E52">
        <f t="shared" si="14"/>
        <v>4.9740964550786748E-2</v>
      </c>
      <c r="F52">
        <f t="shared" si="14"/>
        <v>0.11070847728495178</v>
      </c>
      <c r="G52">
        <f t="shared" si="14"/>
        <v>0.174091986273789</v>
      </c>
      <c r="H52">
        <f t="shared" si="14"/>
        <v>0.31100846910775504</v>
      </c>
      <c r="I52">
        <f t="shared" si="14"/>
        <v>0.21736546213085037</v>
      </c>
      <c r="J52">
        <f t="shared" si="14"/>
        <v>8.501396687901687E-2</v>
      </c>
      <c r="K52">
        <f t="shared" si="14"/>
        <v>2.1139908372549969E-2</v>
      </c>
      <c r="L52">
        <f t="shared" si="14"/>
        <v>4.0725635154337542E-3</v>
      </c>
      <c r="M52">
        <f t="shared" si="14"/>
        <v>1.9149416441216201E-3</v>
      </c>
      <c r="N52">
        <f>SUM(B52:M52)</f>
        <v>1</v>
      </c>
    </row>
  </sheetData>
  <mergeCells count="3">
    <mergeCell ref="B2:E2"/>
    <mergeCell ref="F2:H2"/>
    <mergeCell ref="B9:N9"/>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1.lapa_Patēriņš</vt:lpstr>
      <vt:lpstr>2.lapa_Esošā situācija</vt:lpstr>
      <vt:lpstr>3.lapa_Situācija pēc</vt:lpstr>
      <vt:lpstr>4.lapa_Energoprasiba_apkurei</vt:lpstr>
      <vt:lpstr>5.lapa_Energoefektivitate</vt:lpstr>
      <vt:lpstr>6.lapa_Centralizētā</vt:lpstr>
      <vt:lpstr>7.lapa_Projekts</vt:lpstr>
      <vt:lpstr>PV_enerģija</vt:lpstr>
      <vt:lpstr>Output_Heizwaerme_Jahresverfahren</vt:lpstr>
      <vt:lpstr>'1.lapa_Patēriņš'!Print_Area</vt:lpstr>
      <vt:lpstr>'2.lapa_Esošā situācija'!Print_Area</vt:lpstr>
      <vt:lpstr>'3.lapa_Situācija pēc'!Print_Area</vt:lpstr>
      <vt:lpstr>'4.lapa_Energoprasiba_apkurei'!Print_Area</vt:lpstr>
      <vt:lpstr>'5.lapa_Energoefektivitate'!Print_Area</vt:lpstr>
      <vt:lpstr>'6.lapa_Centralizētā'!Print_Area</vt:lpstr>
      <vt:lpstr>'7.lapa_Projekts'!Print_Area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Modris</dc:creator>
  <cp:lastModifiedBy>Modris</cp:lastModifiedBy>
  <cp:lastPrinted>2022-08-30T12:52:17Z</cp:lastPrinted>
  <dcterms:created xsi:type="dcterms:W3CDTF">2021-08-31T15:22:26Z</dcterms:created>
  <dcterms:modified xsi:type="dcterms:W3CDTF">2022-08-30T13:13:57Z</dcterms:modified>
</cp:coreProperties>
</file>