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23" windowHeight="6646" tabRatio="886" activeTab="0"/>
  </bookViews>
  <sheets>
    <sheet name="Dati" sheetId="1" r:id="rId1"/>
    <sheet name="Soc.ek. analīze" sheetId="2" r:id="rId2"/>
    <sheet name="Pieņēmumi" sheetId="3" r:id="rId3"/>
    <sheet name="Investicijas" sheetId="4" state="hidden" r:id="rId4"/>
    <sheet name="Izglītojamie - ar projektu" sheetId="5" state="hidden" r:id="rId5"/>
    <sheet name="Izglītojamie - bez projekta" sheetId="6" state="hidden" r:id="rId6"/>
    <sheet name="1" sheetId="7" state="hidden" r:id="rId7"/>
    <sheet name="2" sheetId="8" state="hidden" r:id="rId8"/>
    <sheet name="3" sheetId="9" state="hidden" r:id="rId9"/>
    <sheet name="4" sheetId="10" state="hidden" r:id="rId10"/>
    <sheet name="5" sheetId="11" state="hidden" r:id="rId11"/>
    <sheet name="6" sheetId="12" state="hidden" r:id="rId12"/>
    <sheet name="7" sheetId="13" state="hidden" r:id="rId13"/>
    <sheet name="A" sheetId="14" state="hidden" r:id="rId14"/>
    <sheet name="Pamatskolas" sheetId="15" state="hidden" r:id="rId15"/>
    <sheet name="Prof &amp; Augst" sheetId="16" state="hidden" r:id="rId16"/>
    <sheet name="Pievienotā vērtība" sheetId="17" state="hidden" r:id="rId17"/>
    <sheet name="Algas pa līmeņiem" sheetId="18" state="hidden" r:id="rId18"/>
    <sheet name="Algu izmainas" sheetId="19" state="hidden" r:id="rId19"/>
    <sheet name="Prof izvele" sheetId="20" state="hidden" r:id="rId20"/>
    <sheet name="Skolu beidzēji" sheetId="21" state="hidden" r:id="rId21"/>
    <sheet name="Eurostat" sheetId="22" state="hidden" r:id="rId22"/>
    <sheet name="Nozares" sheetId="23" state="hidden" r:id="rId23"/>
  </sheets>
  <externalReferences>
    <externalReference r:id="rId26"/>
  </externalReferences>
  <definedNames>
    <definedName name="__FDS_HYPERLINK_TOGGLE_STATE__" hidden="1">"ON"</definedName>
    <definedName name="_Fill" localSheetId="8" hidden="1">'[1]1993'!#REF!</definedName>
    <definedName name="_Fill" localSheetId="9" hidden="1">'[1]1993'!#REF!</definedName>
    <definedName name="_Fill" localSheetId="11" hidden="1">'[1]1993'!#REF!</definedName>
    <definedName name="_Fill" localSheetId="12" hidden="1">'[1]1993'!#REF!</definedName>
    <definedName name="_Fill" localSheetId="0" hidden="1">'[1]1993'!#REF!</definedName>
    <definedName name="_Fill" localSheetId="4" hidden="1">'[1]1993'!#REF!</definedName>
    <definedName name="_Fill" localSheetId="5"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xlfn.IFERROR" hidden="1">#NAME?</definedName>
    <definedName name="_xlfn.SUMIFS" hidden="1">#NAME?</definedName>
    <definedName name="a" hidden="1">{"customer input",#N/A,FALSE,"Customer Input"}</definedName>
    <definedName name="AS2DocOpenMode" hidden="1">"AS2DocumentEdit"</definedName>
    <definedName name="b" hidden="1">{"customer input",#N/A,FALSE,"Customer Input"}</definedName>
    <definedName name="BLPH1" localSheetId="8" hidden="1">#REF!</definedName>
    <definedName name="BLPH1" localSheetId="9" hidden="1">#REF!</definedName>
    <definedName name="BLPH1" localSheetId="11" hidden="1">#REF!</definedName>
    <definedName name="BLPH1" localSheetId="12" hidden="1">#REF!</definedName>
    <definedName name="BLPH1" localSheetId="0" hidden="1">#REF!</definedName>
    <definedName name="BLPH1" localSheetId="4" hidden="1">#REF!</definedName>
    <definedName name="BLPH1" localSheetId="5" hidden="1">#REF!</definedName>
    <definedName name="BLPH1" hidden="1">#REF!</definedName>
    <definedName name="BLPH10" localSheetId="8" hidden="1">#REF!</definedName>
    <definedName name="BLPH10" localSheetId="9" hidden="1">#REF!</definedName>
    <definedName name="BLPH10" localSheetId="11" hidden="1">#REF!</definedName>
    <definedName name="BLPH10" localSheetId="12" hidden="1">#REF!</definedName>
    <definedName name="BLPH10" localSheetId="0" hidden="1">#REF!</definedName>
    <definedName name="BLPH10" localSheetId="4" hidden="1">#REF!</definedName>
    <definedName name="BLPH10" localSheetId="5" hidden="1">#REF!</definedName>
    <definedName name="BLPH10" hidden="1">#REF!</definedName>
    <definedName name="BLPH11" localSheetId="8" hidden="1">#REF!</definedName>
    <definedName name="BLPH11" localSheetId="9" hidden="1">#REF!</definedName>
    <definedName name="BLPH11" localSheetId="11" hidden="1">#REF!</definedName>
    <definedName name="BLPH11" localSheetId="12" hidden="1">#REF!</definedName>
    <definedName name="BLPH11" localSheetId="0" hidden="1">#REF!</definedName>
    <definedName name="BLPH11" localSheetId="4" hidden="1">#REF!</definedName>
    <definedName name="BLPH11" localSheetId="5" hidden="1">#REF!</definedName>
    <definedName name="BLPH11" hidden="1">#REF!</definedName>
    <definedName name="BLPH12" localSheetId="8" hidden="1">#REF!</definedName>
    <definedName name="BLPH12" localSheetId="9" hidden="1">#REF!</definedName>
    <definedName name="BLPH12" localSheetId="11" hidden="1">#REF!</definedName>
    <definedName name="BLPH12" localSheetId="12" hidden="1">#REF!</definedName>
    <definedName name="BLPH12" localSheetId="0" hidden="1">#REF!</definedName>
    <definedName name="BLPH12" localSheetId="4" hidden="1">#REF!</definedName>
    <definedName name="BLPH12" localSheetId="5" hidden="1">#REF!</definedName>
    <definedName name="BLPH12" hidden="1">#REF!</definedName>
    <definedName name="BLPH13" localSheetId="8" hidden="1">#REF!</definedName>
    <definedName name="BLPH13" localSheetId="9" hidden="1">#REF!</definedName>
    <definedName name="BLPH13" localSheetId="11" hidden="1">#REF!</definedName>
    <definedName name="BLPH13" localSheetId="12" hidden="1">#REF!</definedName>
    <definedName name="BLPH13" localSheetId="0" hidden="1">#REF!</definedName>
    <definedName name="BLPH13" localSheetId="4" hidden="1">#REF!</definedName>
    <definedName name="BLPH13" localSheetId="5" hidden="1">#REF!</definedName>
    <definedName name="BLPH13" hidden="1">#REF!</definedName>
    <definedName name="BLPH14" localSheetId="8" hidden="1">#REF!</definedName>
    <definedName name="BLPH14" localSheetId="9" hidden="1">#REF!</definedName>
    <definedName name="BLPH14" localSheetId="11" hidden="1">#REF!</definedName>
    <definedName name="BLPH14" localSheetId="12" hidden="1">#REF!</definedName>
    <definedName name="BLPH14" localSheetId="0" hidden="1">#REF!</definedName>
    <definedName name="BLPH14" localSheetId="4" hidden="1">#REF!</definedName>
    <definedName name="BLPH14" localSheetId="5" hidden="1">#REF!</definedName>
    <definedName name="BLPH14" hidden="1">#REF!</definedName>
    <definedName name="BLPH15" localSheetId="8" hidden="1">#REF!</definedName>
    <definedName name="BLPH15" localSheetId="9" hidden="1">#REF!</definedName>
    <definedName name="BLPH15" localSheetId="11" hidden="1">#REF!</definedName>
    <definedName name="BLPH15" localSheetId="12" hidden="1">#REF!</definedName>
    <definedName name="BLPH15" localSheetId="0" hidden="1">#REF!</definedName>
    <definedName name="BLPH15" localSheetId="4" hidden="1">#REF!</definedName>
    <definedName name="BLPH15" localSheetId="5" hidden="1">#REF!</definedName>
    <definedName name="BLPH15" hidden="1">#REF!</definedName>
    <definedName name="BLPH16" localSheetId="8" hidden="1">#REF!</definedName>
    <definedName name="BLPH16" localSheetId="9" hidden="1">#REF!</definedName>
    <definedName name="BLPH16" localSheetId="11" hidden="1">#REF!</definedName>
    <definedName name="BLPH16" localSheetId="12" hidden="1">#REF!</definedName>
    <definedName name="BLPH16" localSheetId="0" hidden="1">#REF!</definedName>
    <definedName name="BLPH16" localSheetId="4" hidden="1">#REF!</definedName>
    <definedName name="BLPH16" localSheetId="5" hidden="1">#REF!</definedName>
    <definedName name="BLPH16" hidden="1">#REF!</definedName>
    <definedName name="BLPH17" localSheetId="8" hidden="1">#REF!</definedName>
    <definedName name="BLPH17" localSheetId="9" hidden="1">#REF!</definedName>
    <definedName name="BLPH17" localSheetId="11" hidden="1">#REF!</definedName>
    <definedName name="BLPH17" localSheetId="12" hidden="1">#REF!</definedName>
    <definedName name="BLPH17" localSheetId="0" hidden="1">#REF!</definedName>
    <definedName name="BLPH17" localSheetId="4" hidden="1">#REF!</definedName>
    <definedName name="BLPH17" localSheetId="5" hidden="1">#REF!</definedName>
    <definedName name="BLPH17" hidden="1">#REF!</definedName>
    <definedName name="BLPH18" localSheetId="8" hidden="1">#REF!</definedName>
    <definedName name="BLPH18" localSheetId="9" hidden="1">#REF!</definedName>
    <definedName name="BLPH18" localSheetId="11" hidden="1">#REF!</definedName>
    <definedName name="BLPH18" localSheetId="12" hidden="1">#REF!</definedName>
    <definedName name="BLPH18" localSheetId="0" hidden="1">#REF!</definedName>
    <definedName name="BLPH18" localSheetId="4" hidden="1">#REF!</definedName>
    <definedName name="BLPH18" localSheetId="5" hidden="1">#REF!</definedName>
    <definedName name="BLPH18" hidden="1">#REF!</definedName>
    <definedName name="BLPH19" localSheetId="8" hidden="1">#REF!</definedName>
    <definedName name="BLPH19" localSheetId="9" hidden="1">#REF!</definedName>
    <definedName name="BLPH19" localSheetId="11" hidden="1">#REF!</definedName>
    <definedName name="BLPH19" localSheetId="12" hidden="1">#REF!</definedName>
    <definedName name="BLPH19" localSheetId="0" hidden="1">#REF!</definedName>
    <definedName name="BLPH19" localSheetId="4" hidden="1">#REF!</definedName>
    <definedName name="BLPH19" localSheetId="5" hidden="1">#REF!</definedName>
    <definedName name="BLPH19" hidden="1">#REF!</definedName>
    <definedName name="BLPH2" localSheetId="8" hidden="1">#REF!</definedName>
    <definedName name="BLPH2" localSheetId="9" hidden="1">#REF!</definedName>
    <definedName name="BLPH2" localSheetId="11" hidden="1">#REF!</definedName>
    <definedName name="BLPH2" localSheetId="12" hidden="1">#REF!</definedName>
    <definedName name="BLPH2" localSheetId="0" hidden="1">#REF!</definedName>
    <definedName name="BLPH2" localSheetId="4" hidden="1">#REF!</definedName>
    <definedName name="BLPH2" localSheetId="5" hidden="1">#REF!</definedName>
    <definedName name="BLPH2" hidden="1">#REF!</definedName>
    <definedName name="BLPH20" localSheetId="8" hidden="1">#REF!</definedName>
    <definedName name="BLPH20" localSheetId="9" hidden="1">#REF!</definedName>
    <definedName name="BLPH20" localSheetId="11" hidden="1">#REF!</definedName>
    <definedName name="BLPH20" localSheetId="12" hidden="1">#REF!</definedName>
    <definedName name="BLPH20" localSheetId="0" hidden="1">#REF!</definedName>
    <definedName name="BLPH20" localSheetId="4" hidden="1">#REF!</definedName>
    <definedName name="BLPH20" localSheetId="5" hidden="1">#REF!</definedName>
    <definedName name="BLPH20" hidden="1">#REF!</definedName>
    <definedName name="BLPH21" localSheetId="8" hidden="1">#REF!</definedName>
    <definedName name="BLPH21" localSheetId="9" hidden="1">#REF!</definedName>
    <definedName name="BLPH21" localSheetId="11" hidden="1">#REF!</definedName>
    <definedName name="BLPH21" localSheetId="12" hidden="1">#REF!</definedName>
    <definedName name="BLPH21" localSheetId="0" hidden="1">#REF!</definedName>
    <definedName name="BLPH21" localSheetId="4" hidden="1">#REF!</definedName>
    <definedName name="BLPH21" localSheetId="5" hidden="1">#REF!</definedName>
    <definedName name="BLPH21" hidden="1">#REF!</definedName>
    <definedName name="BLPH22" localSheetId="8" hidden="1">#REF!</definedName>
    <definedName name="BLPH22" localSheetId="9" hidden="1">#REF!</definedName>
    <definedName name="BLPH22" localSheetId="11" hidden="1">#REF!</definedName>
    <definedName name="BLPH22" localSheetId="12" hidden="1">#REF!</definedName>
    <definedName name="BLPH22" localSheetId="0" hidden="1">#REF!</definedName>
    <definedName name="BLPH22" localSheetId="4" hidden="1">#REF!</definedName>
    <definedName name="BLPH22" localSheetId="5" hidden="1">#REF!</definedName>
    <definedName name="BLPH22" hidden="1">#REF!</definedName>
    <definedName name="BLPH23" localSheetId="8" hidden="1">#REF!</definedName>
    <definedName name="BLPH23" localSheetId="9" hidden="1">#REF!</definedName>
    <definedName name="BLPH23" localSheetId="11" hidden="1">#REF!</definedName>
    <definedName name="BLPH23" localSheetId="12" hidden="1">#REF!</definedName>
    <definedName name="BLPH23" localSheetId="0" hidden="1">#REF!</definedName>
    <definedName name="BLPH23" localSheetId="4" hidden="1">#REF!</definedName>
    <definedName name="BLPH23" localSheetId="5" hidden="1">#REF!</definedName>
    <definedName name="BLPH23" hidden="1">#REF!</definedName>
    <definedName name="BLPH24" localSheetId="8" hidden="1">#REF!</definedName>
    <definedName name="BLPH24" localSheetId="9" hidden="1">#REF!</definedName>
    <definedName name="BLPH24" localSheetId="11" hidden="1">#REF!</definedName>
    <definedName name="BLPH24" localSheetId="12" hidden="1">#REF!</definedName>
    <definedName name="BLPH24" localSheetId="0" hidden="1">#REF!</definedName>
    <definedName name="BLPH24" localSheetId="4" hidden="1">#REF!</definedName>
    <definedName name="BLPH24" localSheetId="5" hidden="1">#REF!</definedName>
    <definedName name="BLPH24" hidden="1">#REF!</definedName>
    <definedName name="BLPH25" localSheetId="8" hidden="1">#REF!</definedName>
    <definedName name="BLPH25" localSheetId="9" hidden="1">#REF!</definedName>
    <definedName name="BLPH25" localSheetId="11" hidden="1">#REF!</definedName>
    <definedName name="BLPH25" localSheetId="12" hidden="1">#REF!</definedName>
    <definedName name="BLPH25" localSheetId="0" hidden="1">#REF!</definedName>
    <definedName name="BLPH25" localSheetId="4" hidden="1">#REF!</definedName>
    <definedName name="BLPH25" localSheetId="5" hidden="1">#REF!</definedName>
    <definedName name="BLPH25" hidden="1">#REF!</definedName>
    <definedName name="BLPH26" localSheetId="8" hidden="1">#REF!</definedName>
    <definedName name="BLPH26" localSheetId="9" hidden="1">#REF!</definedName>
    <definedName name="BLPH26" localSheetId="11" hidden="1">#REF!</definedName>
    <definedName name="BLPH26" localSheetId="12" hidden="1">#REF!</definedName>
    <definedName name="BLPH26" localSheetId="0" hidden="1">#REF!</definedName>
    <definedName name="BLPH26" localSheetId="4" hidden="1">#REF!</definedName>
    <definedName name="BLPH26" localSheetId="5" hidden="1">#REF!</definedName>
    <definedName name="BLPH26" hidden="1">#REF!</definedName>
    <definedName name="BLPH27" localSheetId="8" hidden="1">#REF!</definedName>
    <definedName name="BLPH27" localSheetId="9" hidden="1">#REF!</definedName>
    <definedName name="BLPH27" localSheetId="11" hidden="1">#REF!</definedName>
    <definedName name="BLPH27" localSheetId="12" hidden="1">#REF!</definedName>
    <definedName name="BLPH27" localSheetId="0" hidden="1">#REF!</definedName>
    <definedName name="BLPH27" localSheetId="4" hidden="1">#REF!</definedName>
    <definedName name="BLPH27" localSheetId="5" hidden="1">#REF!</definedName>
    <definedName name="BLPH27" hidden="1">#REF!</definedName>
    <definedName name="BLPH3" localSheetId="8" hidden="1">#REF!</definedName>
    <definedName name="BLPH3" localSheetId="9" hidden="1">#REF!</definedName>
    <definedName name="BLPH3" localSheetId="11" hidden="1">#REF!</definedName>
    <definedName name="BLPH3" localSheetId="12" hidden="1">#REF!</definedName>
    <definedName name="BLPH3" localSheetId="0" hidden="1">#REF!</definedName>
    <definedName name="BLPH3" localSheetId="4" hidden="1">#REF!</definedName>
    <definedName name="BLPH3" localSheetId="5" hidden="1">#REF!</definedName>
    <definedName name="BLPH3" hidden="1">#REF!</definedName>
    <definedName name="BLPH4" localSheetId="8" hidden="1">#REF!</definedName>
    <definedName name="BLPH4" localSheetId="9" hidden="1">#REF!</definedName>
    <definedName name="BLPH4" localSheetId="11" hidden="1">#REF!</definedName>
    <definedName name="BLPH4" localSheetId="12" hidden="1">#REF!</definedName>
    <definedName name="BLPH4" localSheetId="0" hidden="1">#REF!</definedName>
    <definedName name="BLPH4" localSheetId="4" hidden="1">#REF!</definedName>
    <definedName name="BLPH4" localSheetId="5" hidden="1">#REF!</definedName>
    <definedName name="BLPH4" hidden="1">#REF!</definedName>
    <definedName name="BLPH5" localSheetId="8" hidden="1">#REF!</definedName>
    <definedName name="BLPH5" localSheetId="9" hidden="1">#REF!</definedName>
    <definedName name="BLPH5" localSheetId="11" hidden="1">#REF!</definedName>
    <definedName name="BLPH5" localSheetId="12" hidden="1">#REF!</definedName>
    <definedName name="BLPH5" localSheetId="0" hidden="1">#REF!</definedName>
    <definedName name="BLPH5" localSheetId="4" hidden="1">#REF!</definedName>
    <definedName name="BLPH5" localSheetId="5" hidden="1">#REF!</definedName>
    <definedName name="BLPH5" hidden="1">#REF!</definedName>
    <definedName name="BLPH6" localSheetId="8" hidden="1">#REF!</definedName>
    <definedName name="BLPH6" localSheetId="9" hidden="1">#REF!</definedName>
    <definedName name="BLPH6" localSheetId="11" hidden="1">#REF!</definedName>
    <definedName name="BLPH6" localSheetId="12" hidden="1">#REF!</definedName>
    <definedName name="BLPH6" localSheetId="0" hidden="1">#REF!</definedName>
    <definedName name="BLPH6" localSheetId="4" hidden="1">#REF!</definedName>
    <definedName name="BLPH6" localSheetId="5" hidden="1">#REF!</definedName>
    <definedName name="BLPH6" hidden="1">#REF!</definedName>
    <definedName name="BLPH7" localSheetId="8" hidden="1">#REF!</definedName>
    <definedName name="BLPH7" localSheetId="9" hidden="1">#REF!</definedName>
    <definedName name="BLPH7" localSheetId="11" hidden="1">#REF!</definedName>
    <definedName name="BLPH7" localSheetId="12" hidden="1">#REF!</definedName>
    <definedName name="BLPH7" localSheetId="0" hidden="1">#REF!</definedName>
    <definedName name="BLPH7" localSheetId="4" hidden="1">#REF!</definedName>
    <definedName name="BLPH7" localSheetId="5" hidden="1">#REF!</definedName>
    <definedName name="BLPH7" hidden="1">#REF!</definedName>
    <definedName name="BLPH8" localSheetId="8" hidden="1">#REF!</definedName>
    <definedName name="BLPH8" localSheetId="9" hidden="1">#REF!</definedName>
    <definedName name="BLPH8" localSheetId="11" hidden="1">#REF!</definedName>
    <definedName name="BLPH8" localSheetId="12" hidden="1">#REF!</definedName>
    <definedName name="BLPH8" localSheetId="0" hidden="1">#REF!</definedName>
    <definedName name="BLPH8" localSheetId="4" hidden="1">#REF!</definedName>
    <definedName name="BLPH8" localSheetId="5" hidden="1">#REF!</definedName>
    <definedName name="BLPH8" hidden="1">#REF!</definedName>
    <definedName name="BLPH9" localSheetId="8" hidden="1">#REF!</definedName>
    <definedName name="BLPH9" localSheetId="9" hidden="1">#REF!</definedName>
    <definedName name="BLPH9" localSheetId="11" hidden="1">#REF!</definedName>
    <definedName name="BLPH9" localSheetId="12" hidden="1">#REF!</definedName>
    <definedName name="BLPH9" localSheetId="0" hidden="1">#REF!</definedName>
    <definedName name="BLPH9" localSheetId="4" hidden="1">#REF!</definedName>
    <definedName name="BLPH9" localSheetId="5" hidden="1">#REF!</definedName>
    <definedName name="BLPH9"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s>
  <calcPr fullCalcOnLoad="1"/>
</workbook>
</file>

<file path=xl/comments17.xml><?xml version="1.0" encoding="utf-8"?>
<comments xmlns="http://schemas.openxmlformats.org/spreadsheetml/2006/main">
  <authors>
    <author>Author</author>
  </authors>
  <commentList>
    <comment ref="C70"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20.xml><?xml version="1.0" encoding="utf-8"?>
<comments xmlns="http://schemas.openxmlformats.org/spreadsheetml/2006/main">
  <authors>
    <author>Author</author>
  </authors>
  <commentList>
    <comment ref="S2"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3.xml><?xml version="1.0" encoding="utf-8"?>
<comments xmlns="http://schemas.openxmlformats.org/spreadsheetml/2006/main">
  <authors>
    <author>Author</author>
  </authors>
  <commentList>
    <comment ref="C26" authorId="0">
      <text>
        <r>
          <rPr>
            <b/>
            <sz val="9"/>
            <rFont val="Tahoma"/>
            <family val="2"/>
          </rPr>
          <t>Author:</t>
        </r>
        <r>
          <rPr>
            <sz val="9"/>
            <rFont val="Tahoma"/>
            <family val="2"/>
          </rPr>
          <t xml:space="preserve">
saskaņā ar 15.12.2009.MK N Nr.1486 2.pielikumu</t>
        </r>
      </text>
    </comment>
  </commentList>
</comments>
</file>

<file path=xl/comments4.xml><?xml version="1.0" encoding="utf-8"?>
<comments xmlns="http://schemas.openxmlformats.org/spreadsheetml/2006/main">
  <authors>
    <author>Author</author>
  </authors>
  <commentList>
    <comment ref="D4" authorId="0">
      <text>
        <r>
          <rPr>
            <b/>
            <sz val="9"/>
            <rFont val="Tahoma"/>
            <family val="2"/>
          </rPr>
          <t>Author:</t>
        </r>
        <r>
          <rPr>
            <sz val="9"/>
            <rFont val="Tahoma"/>
            <family val="2"/>
          </rPr>
          <t xml:space="preserve">
BIS RESEARCH PAPER NUMBER 99 - 
Evaluation of the Impact of Capital
Expenditure in FE Colleges</t>
        </r>
      </text>
    </comment>
  </commentList>
</comments>
</file>

<file path=xl/sharedStrings.xml><?xml version="1.0" encoding="utf-8"?>
<sst xmlns="http://schemas.openxmlformats.org/spreadsheetml/2006/main" count="1925" uniqueCount="727">
  <si>
    <t>Investīciju izmaksas</t>
  </si>
  <si>
    <t>Darbības izmaksas</t>
  </si>
  <si>
    <t>Ieņēmumi</t>
  </si>
  <si>
    <t>Gads</t>
  </si>
  <si>
    <t>1.1.</t>
  </si>
  <si>
    <t>1.2.</t>
  </si>
  <si>
    <t>Ietaupītās izmaksas</t>
  </si>
  <si>
    <t>1.3.</t>
  </si>
  <si>
    <t>1.4.</t>
  </si>
  <si>
    <t>1.5.</t>
  </si>
  <si>
    <t>Projekta atlikusī vērtība</t>
  </si>
  <si>
    <t>Diskontēšana</t>
  </si>
  <si>
    <t>2.1.</t>
  </si>
  <si>
    <t>%</t>
  </si>
  <si>
    <t>2.2.</t>
  </si>
  <si>
    <t>Projekta dzīves cikls</t>
  </si>
  <si>
    <t>gadi</t>
  </si>
  <si>
    <t>2.3.</t>
  </si>
  <si>
    <t>Diskonta faktors</t>
  </si>
  <si>
    <t>faktors</t>
  </si>
  <si>
    <t xml:space="preserve"> </t>
  </si>
  <si>
    <t>Kopā</t>
  </si>
  <si>
    <t>Fiskālās korekcijas</t>
  </si>
  <si>
    <t>Sociālekonomiskās naudas plūsmas pozīcijas</t>
  </si>
  <si>
    <t>Sociālekonomiskie ieguvumi</t>
  </si>
  <si>
    <t>Sociālekonomiskie zaudējumi</t>
  </si>
  <si>
    <t>4.1.</t>
  </si>
  <si>
    <t>4.2.</t>
  </si>
  <si>
    <t>4.3.</t>
  </si>
  <si>
    <t>Sociālekonomiskā diskonta likme</t>
  </si>
  <si>
    <t>Sociālekonomiskā neto naudas plūsma</t>
  </si>
  <si>
    <t>Rādītāju aprēķināšana</t>
  </si>
  <si>
    <t>Ekonomiskā neto pašreizējā vērtība (ENPV)</t>
  </si>
  <si>
    <t>Ekonomiskā ienesīguma vērtība (ERR)</t>
  </si>
  <si>
    <t>Ieguvumu un izmaksu attiecība (B/C)</t>
  </si>
  <si>
    <t>Finanšu ieguvumi</t>
  </si>
  <si>
    <t>Finanšu un sociālekonomiskie ieguvumi</t>
  </si>
  <si>
    <t>Finanšu izmaksas</t>
  </si>
  <si>
    <t>5.1.</t>
  </si>
  <si>
    <t>5.2.</t>
  </si>
  <si>
    <t>Finanšu un sociālekonomiskās izmaksas</t>
  </si>
  <si>
    <t>6.1.</t>
  </si>
  <si>
    <t>6.2.</t>
  </si>
  <si>
    <t>6.3.</t>
  </si>
  <si>
    <t>Diskontēti sociālekonomiskie ieguvumi</t>
  </si>
  <si>
    <t>Diskontēti finanšu ieguvumi</t>
  </si>
  <si>
    <t>Diskontēti sociālekonomiskie zaudējumi</t>
  </si>
  <si>
    <t>Diskontētas finanšu izmaksas</t>
  </si>
  <si>
    <t>Diskontētas fiskālās korekcijas</t>
  </si>
  <si>
    <t>Diskontēta sociālekonomiskā neto naudas plūsma</t>
  </si>
  <si>
    <t>Diskontēti finanšu un sociālekonomiskie ieguvumi</t>
  </si>
  <si>
    <t>Diskontētas finanšu un sociālekonomiskās izmaksas</t>
  </si>
  <si>
    <t>EUR</t>
  </si>
  <si>
    <t>Kvalifikāciju ieguvušo skaits</t>
  </si>
  <si>
    <t>Izglītības tematiskā joma „mākslas” (radošās industrijas): izglītības klasifikācijas koda 3. un 4.cipars: 21</t>
  </si>
  <si>
    <t xml:space="preserve">Izglītības programmu grupas ar šādu izglītības klasifikācijas koda 3., 4. un 5.ciparu: “521”; “522”; “523”; “524”; “525”; “541”; “542”; “543”; “545” vai “582”:  </t>
  </si>
  <si>
    <t xml:space="preserve">Izglītības programmu grupa  "lauksaimniecība", "mežsaimniecība", "zivjsaimniecība" vai "veterinārija" (izglītības klasifikācijas koda 3. un 4.cipars "62" vai "64")  </t>
  </si>
  <si>
    <t xml:space="preserve">Izglītības programmu grupa: "viesnīcu un restorānu paklapojumi"  ,  "tūrisma un atpūtas organizācija" (izglītības klasifikācijas koda 3., 4. un 5.cipars "811"  vai "812") </t>
  </si>
  <si>
    <t>Kopējais 1.kursā uzņemto izglītojamo skaits 2015./2016.māc.g. (uz 01.10.2015.)</t>
  </si>
  <si>
    <t>Nr</t>
  </si>
  <si>
    <t>Ieguldījums</t>
  </si>
  <si>
    <t>Nolietojuma norma, (% gadā)</t>
  </si>
  <si>
    <t>Nolietojuma aprēķina periods, gados</t>
  </si>
  <si>
    <t xml:space="preserve">Aprēķinātais nolietojums </t>
  </si>
  <si>
    <t>Atlikusī vērtība</t>
  </si>
  <si>
    <t>A</t>
  </si>
  <si>
    <t>Sakaru un elektropārvades līnijas</t>
  </si>
  <si>
    <t>Tehnoloģiskās iekārtas un mašīnas</t>
  </si>
  <si>
    <t>B</t>
  </si>
  <si>
    <t>Instrumenti, iekārtu un mašīnu piederumi un aprīkojums</t>
  </si>
  <si>
    <t>-</t>
  </si>
  <si>
    <t>Sporta, atpūtas būves, citas būves un celtnes</t>
  </si>
  <si>
    <t>.</t>
  </si>
  <si>
    <t>Izglītojamo skaita sadalījums pa klasēm vispārizglītojošajās dienas apmācības programmās 2015./2016.m.g.</t>
  </si>
  <si>
    <t>Plānošanas reģions</t>
  </si>
  <si>
    <t>1.kl.</t>
  </si>
  <si>
    <t>2.kl.</t>
  </si>
  <si>
    <t>3.kl.</t>
  </si>
  <si>
    <t>4.kl.</t>
  </si>
  <si>
    <t>5.kl.</t>
  </si>
  <si>
    <t>6.kl.</t>
  </si>
  <si>
    <t>7.kl.</t>
  </si>
  <si>
    <t>8.kl.</t>
  </si>
  <si>
    <t>9.kl.</t>
  </si>
  <si>
    <t>10.kl.</t>
  </si>
  <si>
    <t>11.kl.</t>
  </si>
  <si>
    <t>12.kl.</t>
  </si>
  <si>
    <t>Kurzemes reģions</t>
  </si>
  <si>
    <t>Latgales reģions</t>
  </si>
  <si>
    <t>Rīgas reģions</t>
  </si>
  <si>
    <t>Vidzemes reģions</t>
  </si>
  <si>
    <t>Zemgales reģions</t>
  </si>
  <si>
    <t>10</t>
  </si>
  <si>
    <t>Jēkabpils</t>
  </si>
  <si>
    <t>25</t>
  </si>
  <si>
    <t>Valmiera</t>
  </si>
  <si>
    <t>27</t>
  </si>
  <si>
    <t>Daugavpils</t>
  </si>
  <si>
    <t>28</t>
  </si>
  <si>
    <t>Jelgava</t>
  </si>
  <si>
    <t>29</t>
  </si>
  <si>
    <t>Jūrmala</t>
  </si>
  <si>
    <t>30</t>
  </si>
  <si>
    <t>Liepāja</t>
  </si>
  <si>
    <t>31</t>
  </si>
  <si>
    <t>Rēzekne</t>
  </si>
  <si>
    <t>32</t>
  </si>
  <si>
    <t>Ventspils</t>
  </si>
  <si>
    <t>Rīga</t>
  </si>
  <si>
    <t>34</t>
  </si>
  <si>
    <t xml:space="preserve">   Centra rajons</t>
  </si>
  <si>
    <t>35</t>
  </si>
  <si>
    <t xml:space="preserve">   Kurzemes rajons</t>
  </si>
  <si>
    <t>36</t>
  </si>
  <si>
    <t xml:space="preserve">   Latgales priekšpilsēta</t>
  </si>
  <si>
    <t>37</t>
  </si>
  <si>
    <t xml:space="preserve">   Vidzemes priekšpilsēta</t>
  </si>
  <si>
    <t>38</t>
  </si>
  <si>
    <t xml:space="preserve">   Zemgales priekšpilsēta</t>
  </si>
  <si>
    <t>39</t>
  </si>
  <si>
    <t xml:space="preserve">   Ziemeļu rajons</t>
  </si>
  <si>
    <t>Valstī kopā:</t>
  </si>
  <si>
    <t>2014./2015.m.g.</t>
  </si>
  <si>
    <t>2013./2014.m.g.</t>
  </si>
  <si>
    <t>2012./2013.m.g.</t>
  </si>
  <si>
    <t>2011./2012.m.g.</t>
  </si>
  <si>
    <t>2010./2011.m.g.</t>
  </si>
  <si>
    <t>2009./2010.m.g.</t>
  </si>
  <si>
    <t>2008./2009.m.g.</t>
  </si>
  <si>
    <t>2007./2008.m.g.</t>
  </si>
  <si>
    <t>2006./2007.m.g.</t>
  </si>
  <si>
    <t>2005./2006.m.g.</t>
  </si>
  <si>
    <t>2004./2005.m.g.</t>
  </si>
  <si>
    <t>2003./2004.m.g.</t>
  </si>
  <si>
    <t>2002./2003.m.g.</t>
  </si>
  <si>
    <t>2001./2002.m.g.</t>
  </si>
  <si>
    <t>2000./2001.m.g.</t>
  </si>
  <si>
    <t>1999./2000.m.g.</t>
  </si>
  <si>
    <t>1998./1999.m.g.</t>
  </si>
  <si>
    <t xml:space="preserve">Izglītojamo skaits vakara un neklātienes apmācības programmās 2015./2016.m.g. </t>
  </si>
  <si>
    <t xml:space="preserve">Kopā </t>
  </si>
  <si>
    <t xml:space="preserve">Rīga </t>
  </si>
  <si>
    <t>Centra rajons</t>
  </si>
  <si>
    <t>Kurzemes rajons</t>
  </si>
  <si>
    <t>Latgales priekšpilsēta</t>
  </si>
  <si>
    <t>Vidzemes priekšpilsēta</t>
  </si>
  <si>
    <t>Zemgales priekšpilsēta</t>
  </si>
  <si>
    <t>Ziemeļu rajons</t>
  </si>
  <si>
    <t>Kopā valstī</t>
  </si>
  <si>
    <t>http://www.izm.gov.lv/lv/publikacijas-un-statistika/statistika-par-izglitibu/statistika-par-visparejo-izglitibu/2015-2016-m-g</t>
  </si>
  <si>
    <t>1.</t>
  </si>
  <si>
    <t>2.</t>
  </si>
  <si>
    <t>skaits</t>
  </si>
  <si>
    <t>4.</t>
  </si>
  <si>
    <t>Alternatīva bez projekta</t>
  </si>
  <si>
    <t>Alternatīva ar projektu</t>
  </si>
  <si>
    <t>Budžeta izpilde uz vienu izglītojamo</t>
  </si>
  <si>
    <t>Ieguvumi no kopējās algas gadā pieauguma</t>
  </si>
  <si>
    <t>Pamatizglītība</t>
  </si>
  <si>
    <t>Vispārējā vidējā izglītība</t>
  </si>
  <si>
    <t>Profesionālā izglītība</t>
  </si>
  <si>
    <t>Augstākā izglītība</t>
  </si>
  <si>
    <t>STRĀDĀJOšO MĒNEŠA VIDĒJĀ BRUTO DARBA SAMAKSA PA DARBĪBAS VEIDIEM (EURO)</t>
  </si>
  <si>
    <t>PAVISAM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</si>
  <si>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</si>
  <si>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</si>
  <si>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</si>
  <si>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</si>
  <si>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</si>
  <si>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</si>
  <si>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</si>
  <si>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</si>
  <si>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</si>
  <si>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</si>
  <si>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</si>
  <si>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</si>
  <si>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</si>
  <si>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</si>
  <si>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</si>
  <si>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</si>
  <si>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</si>
  <si>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</si>
  <si>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</si>
  <si>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Produktivitāte tautsaimniecības nozarēs – pievienotā vērtība uz vienu strādājošo, vid.rādītāji, EUR</t>
  </si>
  <si>
    <t>Lauksaimniecība, mežsaimniecība, zvejniecība</t>
  </si>
  <si>
    <t>BDE</t>
  </si>
  <si>
    <t>Pārējā rūpniecība</t>
  </si>
  <si>
    <t>C</t>
  </si>
  <si>
    <t>Apstrādes rūpniecība</t>
  </si>
  <si>
    <t>F</t>
  </si>
  <si>
    <t>Būvniecība</t>
  </si>
  <si>
    <t>G</t>
  </si>
  <si>
    <t>Vairumtirdzniecība un mazumtirdzniecība</t>
  </si>
  <si>
    <t>H</t>
  </si>
  <si>
    <t>Transports un uzglabāšana</t>
  </si>
  <si>
    <t>I</t>
  </si>
  <si>
    <t>Izmitināšanas un ēdināšanas apkalpojumi</t>
  </si>
  <si>
    <t>J</t>
  </si>
  <si>
    <t>Informācijas un komunikācijas pakalpojumi</t>
  </si>
  <si>
    <t>K</t>
  </si>
  <si>
    <t>Finanšu un apdrošināšanas darbības</t>
  </si>
  <si>
    <t>L</t>
  </si>
  <si>
    <t>Operācijas ar nekustami īpašumu</t>
  </si>
  <si>
    <t>MNS</t>
  </si>
  <si>
    <t>Komercpakalpojumi</t>
  </si>
  <si>
    <t>O</t>
  </si>
  <si>
    <t>Valsts pārvalde</t>
  </si>
  <si>
    <t>P</t>
  </si>
  <si>
    <t>Izglītība</t>
  </si>
  <si>
    <t>Q</t>
  </si>
  <si>
    <t>Veselība un sociālā aprūpe</t>
  </si>
  <si>
    <t>R</t>
  </si>
  <si>
    <t>Māksla, izklaide un atpūta</t>
  </si>
  <si>
    <t>Vidēji tautsaimniecībā</t>
  </si>
  <si>
    <t xml:space="preserve"> IEDZÎVOTÂJI PēC EKONOMISKÂS AKTIVITÂTES STATUSA SADALÎJUMÂ PA IZGLÎTÎBAS LĪMEŅIEM</t>
  </si>
  <si>
    <t>Ekonomiski aktîvie iedzîvotâji</t>
  </si>
  <si>
    <t>Augstâkâ izglîtîba</t>
  </si>
  <si>
    <t>Arodizglîtîba vai profesionâlâ vidçjâ izglîtîba</t>
  </si>
  <si>
    <t>Vispârçjâ vidçjâ izglîtîba</t>
  </si>
  <si>
    <t>Pamatizglîtîba</t>
  </si>
  <si>
    <t>N/A</t>
  </si>
  <si>
    <t>Ekonomiski neaktîvie iedzîvotâji</t>
  </si>
  <si>
    <t>5.</t>
  </si>
  <si>
    <t>PAMATSKOLU UN VIDUSSKOLU BEIGUÐO TURPMÂKÂ IZGLÎTÎBA (%)</t>
  </si>
  <si>
    <t>Visi pamatskolas beiguðie</t>
  </si>
  <si>
    <t>..mâcîbas turpina vidusskolâs</t>
  </si>
  <si>
    <t>..mâcîbas turpina profesionâlâs izglîtîbas iestâdçs</t>
  </si>
  <si>
    <t>..mâcîbas neturpina</t>
  </si>
  <si>
    <t>Visi vidusskolas beiguðie</t>
  </si>
  <si>
    <t>..mâcîbas turpina augstskolâs un koledþâs</t>
  </si>
  <si>
    <t>..mâcîbas turpina profesionâlâs izglîtîbas iestâdçs.</t>
  </si>
  <si>
    <t>..mâcîbas neturpina.</t>
  </si>
  <si>
    <t>8.</t>
  </si>
  <si>
    <t>DARBINIEKU SKAITA SADALÎJUMS PA DARBÎBAS VEIDIEM UN IZGLÎTÎBAS LÎMEņIEM</t>
  </si>
  <si>
    <t>15-17</t>
  </si>
  <si>
    <t>6-7; 10-13</t>
  </si>
  <si>
    <t>8-9</t>
  </si>
  <si>
    <t>1-5</t>
  </si>
  <si>
    <t>Nodarbināto skaits - pavisam</t>
  </si>
  <si>
    <t>Zinâtniskais grâds</t>
  </si>
  <si>
    <t>Akadçmiskâ izglîtîba vai otrâ lîmeòa profesionâlâ augstâkâ izglîtîba</t>
  </si>
  <si>
    <t>Pirmâ lîmeòa profesionâlâ augstâkâ izglîtîba (koledþa)</t>
  </si>
  <si>
    <t>Bez norādes</t>
  </si>
  <si>
    <t>9.</t>
  </si>
  <si>
    <t>Bezdarbnieku sadalījums pa izglītības līmeņiem</t>
  </si>
  <si>
    <t>Pavisam</t>
  </si>
  <si>
    <t>Atalgojuma apmērs atkarībā no jomas un izglītības veida</t>
  </si>
  <si>
    <t>Atalgojuma koefocoenti atkarībā no izglītības līmeņa</t>
  </si>
  <si>
    <t>3.</t>
  </si>
  <si>
    <t>Ieguvumi no produktivitātes pieauguma</t>
  </si>
  <si>
    <t>Produktivitātes pieaugums atkarībā no izglītības līmeņa</t>
  </si>
  <si>
    <t xml:space="preserve">Katrs papildu gads izglītības, palielina produktivitāti </t>
  </si>
  <si>
    <t>Alternatīva ar Projektu</t>
  </si>
  <si>
    <t>Alternatīva bez Projekta</t>
  </si>
  <si>
    <t>Periods</t>
  </si>
  <si>
    <t>Mērķauditorija - potenciālie izglītojamie profesionālās izglītības iestādēs</t>
  </si>
  <si>
    <t>9.klase</t>
  </si>
  <si>
    <t>8.klase</t>
  </si>
  <si>
    <t>7.klase</t>
  </si>
  <si>
    <t>6.klase</t>
  </si>
  <si>
    <t>5.klase</t>
  </si>
  <si>
    <t>4.klase</t>
  </si>
  <si>
    <t>3.klase</t>
  </si>
  <si>
    <t>2.klase</t>
  </si>
  <si>
    <t>1.klase</t>
  </si>
  <si>
    <t>Izglītojamie, kas uzsāk darbu pēc pamatskolas beigšanas</t>
  </si>
  <si>
    <t>Pamatizglītību ieguvušo skaits</t>
  </si>
  <si>
    <t>Izmaiņas</t>
  </si>
  <si>
    <t>Ieguvums no izglītības kvalitātes paaugstināšanās</t>
  </si>
  <si>
    <t xml:space="preserve">Laika plāns pēc attiecīgās profesionālās izglītības </t>
  </si>
  <si>
    <t>Valsts budžeta izmaksas uz vienu izglītojamo</t>
  </si>
  <si>
    <t>Studējošo skaits pēc kvalifikācijas iegūšanas</t>
  </si>
  <si>
    <t>Studiju periods (~ 3 gadi)</t>
  </si>
  <si>
    <t>Mācību periods (~ 4 gadi)</t>
  </si>
  <si>
    <t>Izglītojamo skaits, kas pārnāk no vispārējās vidējās izglītības</t>
  </si>
  <si>
    <t>Izglītojamo skaits, kas izvēlas studēt profesionālās izglītības iestādē nevis uzsākt darbu pēc pamatskolas beigšanas</t>
  </si>
  <si>
    <t>Papildus izglītojamo skaits profesionālās izglītības iestādēs, kas uzsāk darbu pēc kvalifikācijas iegūšanas</t>
  </si>
  <si>
    <t>Izglītojamo proporcija, kas uzsāk darba gaitas pēc studiju pabeigšanas  augstākās izglītības iestādē</t>
  </si>
  <si>
    <t>Izglītojamo skaits, kas izvēlas studēt profesionālās izglītības iestādē nevis uzsākt darbu pēc pamatskolas beigšanas (kumulatīvi)</t>
  </si>
  <si>
    <t>Izglītojamo skaits, kas pārnāk no vispārējās vidējās izglītības (kumulatīvi)</t>
  </si>
  <si>
    <t>Ieguvumi tiem, kas izvēlējušies turpināt izglītību profesionālajā izglītības iestādē un uzsākuši darba gaitas pēc kvalifikācijas iegūšanas</t>
  </si>
  <si>
    <t>Augstāks atalgojums strādājošiem, bruto</t>
  </si>
  <si>
    <t>Labuma guvēji projekta dzīves cikla laikā - deviņas izglītojamo kopas 2015./2016. m.g. -IZM dati</t>
  </si>
  <si>
    <t>Uzņemtie gadā</t>
  </si>
  <si>
    <t>Izgītojamie kopā</t>
  </si>
  <si>
    <t>Profesionālās izglītības iestādē izglītojamo skaits (ņemot par bāzi deviņas izglītojamo kopas)</t>
  </si>
  <si>
    <t>Strādājošo un studējošo skaita sadalījums pēc kvalifikācijas iegūšanas</t>
  </si>
  <si>
    <t>Strādājošo skaits pēc kvalifikācijas iegūšanas (kumulatīvi), ieskaitot darba atbilstību profesijai</t>
  </si>
  <si>
    <t>Imatrikulēto studentu skaits</t>
  </si>
  <si>
    <t>Ieguvumi tiem, kas izvēlējušies turpināt izglītību profesionālajā izglītības iestādē un uzsākuši (absolvējuši) augstākās izglītības iestādi</t>
  </si>
  <si>
    <t>Produktivitātes aprēķins</t>
  </si>
  <si>
    <t xml:space="preserve">Izglītojamo skaits apmācības programmās 2015./2016.m.g. </t>
  </si>
  <si>
    <t>2015./2016.m.g.</t>
  </si>
  <si>
    <t>Izglītojamo skaita izmaiņas gadā pēc atbiruma</t>
  </si>
  <si>
    <t>Ieguvumi no nodokļu ienākumiem no augstāka atalgojuma</t>
  </si>
  <si>
    <t>Atbirums</t>
  </si>
  <si>
    <t>Pieņēmumi</t>
  </si>
  <si>
    <t>Atbirums vidēji gadā - profesionālā vidusskola</t>
  </si>
  <si>
    <t>Valsts sociālās apdrošināšanas obligātās iemaksas (darba ņēmējs)</t>
  </si>
  <si>
    <t>Valsts sociālās apdrošināšanas obligātās iemaksas (darba devējs)</t>
  </si>
  <si>
    <t>IIN likme, 2016</t>
  </si>
  <si>
    <t>Nodokļi darba devēja</t>
  </si>
  <si>
    <t>Nodokļi darba ņēmēja</t>
  </si>
  <si>
    <t>Ar projektu</t>
  </si>
  <si>
    <t>Dabiskais atbirums pamatskolā</t>
  </si>
  <si>
    <t>Produkitivātes vidējais pieaugums</t>
  </si>
  <si>
    <t>Kvalifikāciju ieguvušo skaits - bez projekta</t>
  </si>
  <si>
    <t>Kvalifikāciju ieguvušo skaits ar projektu</t>
  </si>
  <si>
    <t>Bez projekta</t>
  </si>
  <si>
    <t>Papildu ieguvumi EUR no izglītības kvalitātes uzlabošanās alternatīvā ar Projektu</t>
  </si>
  <si>
    <t>Izglītojamo skaits, kas izvēlas profesionālo izglītību vispārējās vidējās izglītības vietā (kumulatīvi) +1 gads</t>
  </si>
  <si>
    <t>Izglītojamo skaits, kas izvēlas studēt profesionālās izglītības iestādē nevis uzsākt darbu pēc pamatskolas beigšanas (kumulatīvi) +3 gadi</t>
  </si>
  <si>
    <t>Papildu produktivitātes ieguvumi EUR no izglītības kvalitātes uzlabošanās alternatīvā ar Projektu</t>
  </si>
  <si>
    <t>Proporcionāls ieguvums</t>
  </si>
  <si>
    <t>Skaits</t>
  </si>
  <si>
    <t>Uzsāka mācības tai pašā gadā</t>
  </si>
  <si>
    <t>Vispār turpināja mācības</t>
  </si>
  <si>
    <t>Mācās šobrīd</t>
  </si>
  <si>
    <t>Šobrīd strādā</t>
  </si>
  <si>
    <t>Bijušas vairākas darba vielas</t>
  </si>
  <si>
    <t>Vidējais</t>
  </si>
  <si>
    <t>II</t>
  </si>
  <si>
    <t xml:space="preserve">  Izglītības programmu grupas izglītības klasifikācijas koda 1. un 2.cipars "33" (3.līmeņa profesionālās kvalifikācijas ieguve)</t>
  </si>
  <si>
    <t>IZG22. PROFESIONĀLĀS IZGLĪTĪBAS IESTĀDES</t>
  </si>
  <si>
    <t>Iestāžu skaits (mācību gada sākumā)</t>
  </si>
  <si>
    <t>Audzēkņu skaits (mācību gada sākumā)</t>
  </si>
  <si>
    <t>Uzņemti audzēkņi</t>
  </si>
  <si>
    <t>Beiguši profesionālās izglītības iestādes</t>
  </si>
  <si>
    <t>2000/01</t>
  </si>
  <si>
    <t>2001/02</t>
  </si>
  <si>
    <t>2002/03</t>
  </si>
  <si>
    <t>2003/04</t>
  </si>
  <si>
    <t>2004/05</t>
  </si>
  <si>
    <t>2005/06</t>
  </si>
  <si>
    <t>2006/07</t>
  </si>
  <si>
    <t>2007/08</t>
  </si>
  <si>
    <t>2008/09</t>
  </si>
  <si>
    <t>2009/10</t>
  </si>
  <si>
    <t>2010/11</t>
  </si>
  <si>
    <t>2011/12</t>
  </si>
  <si>
    <t>2012/13</t>
  </si>
  <si>
    <t>2013/14</t>
  </si>
  <si>
    <t>2014/15</t>
  </si>
  <si>
    <t>2015/16</t>
  </si>
  <si>
    <t>Vidējais atbirums</t>
  </si>
  <si>
    <t>IZG24. AUGSTSKOLAS UN KOLEDŽAS (mācību gada sākumā)</t>
  </si>
  <si>
    <t>AUGSTSKOLU UN KOLEDŽU SKAITS</t>
  </si>
  <si>
    <t>Studentu skaits - pavisam</t>
  </si>
  <si>
    <t>..studenti pilna laika studijās</t>
  </si>
  <si>
    <t>..studenti nepilna laika studijās</t>
  </si>
  <si>
    <t>Studentu skaits uz 10 000 iedzīvotāju</t>
  </si>
  <si>
    <t>Uzņemti studenti - pavisam</t>
  </si>
  <si>
    <t>Ieguvuši grādu/kvalifikāciju - pavisam</t>
  </si>
  <si>
    <t>IKG10_06. KOPĒJĀS PIEVIENOTĀS VĒRTĪBAS SADALĪJUMS PA DARBĪBAS VEIDIEM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</si>
  <si>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</si>
  <si>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</si>
  <si>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</si>
  <si>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</si>
  <si>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</si>
  <si>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</si>
  <si>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</si>
  <si>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</si>
  <si>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</si>
  <si>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</si>
  <si>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</si>
  <si>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</si>
  <si>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</si>
  <si>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</si>
  <si>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</si>
  <si>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</si>
  <si>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</si>
  <si>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</si>
  <si>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</si>
  <si>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t>
  </si>
  <si>
    <t>NBG081. NODARBINĀTIE PĒC SAIMNIECISKĀS DARBĪBAS VEIDA</t>
  </si>
  <si>
    <t>KOPĒJĀS PIEVIENOTĀS VĒRTĪBAS SADALĪJUMS PA DARBĪBAS VEIDIEM UZ NODARBINĀTO</t>
  </si>
  <si>
    <t>III</t>
  </si>
  <si>
    <t>IV</t>
  </si>
  <si>
    <t>IZGLĪTĪBAS TEMATISKĀ JOMA</t>
  </si>
  <si>
    <t>Māksla</t>
  </si>
  <si>
    <t>Inženierzinātnes un tehnoloģijas</t>
  </si>
  <si>
    <t>Inženierzinātnes un tehnoloģijas, ražošana un pārstrāde, būvniecība un civilā būvniecība</t>
  </si>
  <si>
    <t>Joma CBA</t>
  </si>
  <si>
    <t>Lauksaimniecība, mežsaimniecība, zivjsaimniecība, veterinārija</t>
  </si>
  <si>
    <t>Viesnīcu un restorānu serviss, Tūrisma un atpūtas organizācija</t>
  </si>
  <si>
    <t>KOPĒJĀS PIEVIENOTĀS VĒRTĪBA</t>
  </si>
  <si>
    <t>NODARBINĀTIE</t>
  </si>
  <si>
    <t>PIEVIENOTĀS VĒRTĪBA UZ NODARBINĀTO</t>
  </si>
  <si>
    <t>Vidējais atbirums augstākās izglītības iestādēs</t>
  </si>
  <si>
    <t>Katrs papildu gads izglītības, palielina produktivitāti par</t>
  </si>
  <si>
    <t>Atbirums vidēji gadā - augstākā izglītība</t>
  </si>
  <si>
    <t>Atbirums vidēji gadā - pamatskolā</t>
  </si>
  <si>
    <t>Pamatskolu beigušo tālākā darbība</t>
  </si>
  <si>
    <t>Pamatskolu beigušie, kas turpina izglītību turpina vidusskolās</t>
  </si>
  <si>
    <t>Pamatskolu beigušie, kas turpina izglītību profesionālās izglītības jomā</t>
  </si>
  <si>
    <t>Pamatskolu beigušie, kas neturpina mācības</t>
  </si>
  <si>
    <t>Augstākā</t>
  </si>
  <si>
    <t>Humanitārās zinātnes un māksla</t>
  </si>
  <si>
    <t>Dabaszinātnes, matemātika un informācijas tehnoloģijas</t>
  </si>
  <si>
    <t>Lauksaimniecība</t>
  </si>
  <si>
    <t>Veselības aprūpe un sociālā labklājība</t>
  </si>
  <si>
    <t xml:space="preserve">Pakalpojumi </t>
  </si>
  <si>
    <t>Komerczinības un administrēšana</t>
  </si>
  <si>
    <t>Ražošana un pārstrāde</t>
  </si>
  <si>
    <t>Arhitektūra un būvniecība</t>
  </si>
  <si>
    <t>Iekļāvās darba tirgū trīs mēnešu laikā pēc mācību iestādes beigšanas</t>
  </si>
  <si>
    <t>Cik % no tiem, kuri mācību laikā nestrādāja, atrada darbu trīs mēnešu laikā</t>
  </si>
  <si>
    <t>Ir blakus darbs</t>
  </si>
  <si>
    <t>Skaits, kas turpina mācīties</t>
  </si>
  <si>
    <t>2.1</t>
  </si>
  <si>
    <t>2.2</t>
  </si>
  <si>
    <t>Starpība</t>
  </si>
  <si>
    <t>Studējošo skaits</t>
  </si>
  <si>
    <t>Strādājošo skaits pēc kvalifikācijas iegūšanas (kumulatīvi)</t>
  </si>
  <si>
    <t>Proporcija no pieauguma, kas izvēlējās profesionālo nevis vispārējo</t>
  </si>
  <si>
    <t>Proporcija no pieauguma, kas izvēlējās profesionālo nevis neturpināt mācības</t>
  </si>
  <si>
    <t>% no visiem pamatskolas beidzējiem</t>
  </si>
  <si>
    <t>Bruto darba samaksa - pavisam</t>
  </si>
  <si>
    <t>Zinātniskais grāds</t>
  </si>
  <si>
    <t>Akadēmiskā izglītība (bakalaura, maģistra grāds) vai profesionālā bakalaura/maģistra grāds, vai  otrā līmeņa profesionālā  augstākā izglītība</t>
  </si>
  <si>
    <t>Pirmā līmeņa professionālā augstākā izglītība (koledžas)</t>
  </si>
  <si>
    <t>Profesionālā vidējā izglītība</t>
  </si>
  <si>
    <t>Pamatizglītība, ieskaitot profesionālo pamatizglītību</t>
  </si>
  <si>
    <t>Sākumskolas izglītība</t>
  </si>
  <si>
    <t>Zemāka par sākumskolas izglītību, nav skolas izglītības</t>
  </si>
  <si>
    <t>Pieaugums pa 5 gadiem</t>
  </si>
  <si>
    <t>PAVISAM (A..S)</t>
  </si>
  <si>
    <t>Lauksaimniecība, mežsaimniecība un zivsaimniecība (A)</t>
  </si>
  <si>
    <t>Ieguves rūpniecība un karjeru izstrāde (B)</t>
  </si>
  <si>
    <t>Apstrādes rūpniecība (C)</t>
  </si>
  <si>
    <t>Elektroenerģija, gāzes apgāde, siltumapgāde un gaisa kondicionēšana (D)</t>
  </si>
  <si>
    <t>Ūdens apgāde; notekūdeņu, atkritumu apsaimniekošana un sanācija (E)</t>
  </si>
  <si>
    <t>Būvniecība (F)</t>
  </si>
  <si>
    <t>Vairumtirdzniecība un mazumtirdzniecība; automobiļu un motociklu remonts (G)</t>
  </si>
  <si>
    <t>Transports un uzglabāšana (H)</t>
  </si>
  <si>
    <t>Izmitināšana un ēdināšanas pakalpojumi (I)</t>
  </si>
  <si>
    <t>Informācijas un komunikācijas pakalpojumi (J)</t>
  </si>
  <si>
    <t>Finanšu un apdrošināšanas darbības (K)</t>
  </si>
  <si>
    <t>Operācijas ar nekustamo īpašumu (L)</t>
  </si>
  <si>
    <t>Profesionālie, zinātniskie un tehniskie pakalpojumi (M)</t>
  </si>
  <si>
    <t>Administratīvo un apkalpojošo dienestu darbība (N)</t>
  </si>
  <si>
    <t>Valsts pārvalde un aizsardzība; obligātā sociālā apdrošināšana (O)</t>
  </si>
  <si>
    <t>Izglītība (P)</t>
  </si>
  <si>
    <t>Veselība un sociālā aprūpe (Q)</t>
  </si>
  <si>
    <t>Māksla, izklaide un atpūta (R)</t>
  </si>
  <si>
    <t>Citi pakalpojumi (S)</t>
  </si>
  <si>
    <t>PAVI</t>
  </si>
  <si>
    <t>(A)</t>
  </si>
  <si>
    <t>(B)</t>
  </si>
  <si>
    <t>(C)</t>
  </si>
  <si>
    <t>(D)</t>
  </si>
  <si>
    <t>(E)</t>
  </si>
  <si>
    <t>(F)</t>
  </si>
  <si>
    <t>(G)</t>
  </si>
  <si>
    <t>(H)</t>
  </si>
  <si>
    <t>(I)</t>
  </si>
  <si>
    <t>(J)</t>
  </si>
  <si>
    <t>(K)</t>
  </si>
  <si>
    <t>(L)</t>
  </si>
  <si>
    <t>(M)</t>
  </si>
  <si>
    <t>(N)</t>
  </si>
  <si>
    <t>(O)</t>
  </si>
  <si>
    <t>(P)</t>
  </si>
  <si>
    <t>(Q)</t>
  </si>
  <si>
    <t>(R)</t>
  </si>
  <si>
    <t>(S)</t>
  </si>
  <si>
    <t>Algas pieaugums pret pamatizglītību</t>
  </si>
  <si>
    <t>DS05. STRĀDĀJOŠO MĒNEŠA VIDĒJĀ DARBA SAMAKSA PA DARBĪBAS VEIDIEM PA CETURKŠŅIEM (euro)</t>
  </si>
  <si>
    <t>2010/4.ceturksnis</t>
  </si>
  <si>
    <t>2015/4.ceturksnis</t>
  </si>
  <si>
    <t>Bruto</t>
  </si>
  <si>
    <t>(01) Augkopība un lopkopība, medniecība un saistītas palīgdarbības</t>
  </si>
  <si>
    <t>(02) Mežsaimniecība un mežizstrāde</t>
  </si>
  <si>
    <t>(03) Zivsaimniecība</t>
  </si>
  <si>
    <t>(06) Jēlnaftas un dabasgāzes ieguve</t>
  </si>
  <si>
    <t>(08) Pārējā ieguves rūpniecība un karjeru izstrāde</t>
  </si>
  <si>
    <t>(09) Ar ieguves rūpniecību saistītās palīgdarbības</t>
  </si>
  <si>
    <t>(10) Pārtikas produktu ražošana</t>
  </si>
  <si>
    <t>(10.1) Gaļas un gaļas produktu ražošana, pārstrāde un konservēšana</t>
  </si>
  <si>
    <t>(10.2) Zivju, vēžveidīgo un mīkstmiešu pārstrāde un konservēšana</t>
  </si>
  <si>
    <t>(10.3) Augļu un dārzeņu pārstrāde un konservēšana</t>
  </si>
  <si>
    <t>(10.4) Augu un dzīvnieku eļļu un tauku ražošana</t>
  </si>
  <si>
    <t>(10.5) Piena produktu ražošana</t>
  </si>
  <si>
    <t>(10.6+10.9) Graudu malšanas produktu, cietes un cietes produktu ražošana; dzīvnieku barības ražošana</t>
  </si>
  <si>
    <t>(10.7) Konditorejas un miltu izstrādājumu ražošana</t>
  </si>
  <si>
    <t>(10.8) Citu pārtikas produktu ražošana</t>
  </si>
  <si>
    <t>(11) Dzērienu ražošana</t>
  </si>
  <si>
    <t>(12) Tabakas izstrādājumu ražošana</t>
  </si>
  <si>
    <t>(13) Tekstilizstrādājumu ražošana</t>
  </si>
  <si>
    <t>(14) Apģērbu ražošana</t>
  </si>
  <si>
    <t>(15) Ādas un ādas izstrādājumu ražošana</t>
  </si>
  <si>
    <t>(16) Koksnes, koka un korķa izstrādājumu ražošana, izņemot mēbeles; salmu un pīto izstrādājumu ražošana</t>
  </si>
  <si>
    <t>(17) Papīra un papīra izstrādājumu ražošana</t>
  </si>
  <si>
    <t>(18) Poligrāfija un ierakstu reproducēšana</t>
  </si>
  <si>
    <t>(19) Koksa un naftas pārstrādes produktu ražošana</t>
  </si>
  <si>
    <t>(20) Ķīmisko vielu un ķīmisko produktu ražošana</t>
  </si>
  <si>
    <t>(21) Farmaceitisko pamatvielu un farmaceitisko preparātu ražošana</t>
  </si>
  <si>
    <t>(22) Gumijas un plastmasas izstrādājumu ražošana</t>
  </si>
  <si>
    <t>(23) Nemetālisko minerālu izstrādājumu ražošana</t>
  </si>
  <si>
    <t>(24) Metālu ražošana</t>
  </si>
  <si>
    <t>(25) Gatavo metālizstrādājumu ražošana, izņemot mašīnas un iekārtas</t>
  </si>
  <si>
    <t>(26) Datoru, elektronisko un optisko iekārtu ražošana</t>
  </si>
  <si>
    <t>(27) Elektrisko iekārtu ražošana</t>
  </si>
  <si>
    <t>(28) Citur neklasificētu iekārtu, mehānismu un darba mašīnu ražošana</t>
  </si>
  <si>
    <t>(29) Automobiļu, piekabju un puspiekabju ražošana</t>
  </si>
  <si>
    <t>(30) Citu transportlīdzekļu ražošana</t>
  </si>
  <si>
    <t>(31) Mēbeļu ražošana</t>
  </si>
  <si>
    <t>(32) Cita veida ražošana</t>
  </si>
  <si>
    <t>(33) Iekārtu un ierīču remonts un uzstādīšana</t>
  </si>
  <si>
    <t>(35) Elektroenerģija, gāzes apgāde, siltumapgāde un gaisa kondicionēšana</t>
  </si>
  <si>
    <t>(36) Ūdens ieguve, attīrīšana un apgāde</t>
  </si>
  <si>
    <t>(37) Notekūdeņu savākšana un attīrīšana</t>
  </si>
  <si>
    <t>(38) Atkritumu savākšana, apstrāde un izvietošana; materiālu pārstrāde</t>
  </si>
  <si>
    <t>(39) Sanitārija un citi atkritumu apsaimniekošanas pakalpojumi</t>
  </si>
  <si>
    <t>(41) Ēku būvniecība</t>
  </si>
  <si>
    <t>(42) Inženierbūvniecība</t>
  </si>
  <si>
    <t>(43) Specializētie būvdarbi</t>
  </si>
  <si>
    <t>(45) Automobiļu un motociklu vairumtirdzniecība, mazumtirdzniecība un remonts</t>
  </si>
  <si>
    <t>(46) Vairumtirdzniecība, izņemot automobiļus un motociklus</t>
  </si>
  <si>
    <t>(47) Mazumtirdzniecība, izņemot automobiļus un motociklus</t>
  </si>
  <si>
    <t>(49) Sauszemes transports un cauruļvadu transports</t>
  </si>
  <si>
    <t>(50) Ūdens transports</t>
  </si>
  <si>
    <t>(51) Gaisa transports</t>
  </si>
  <si>
    <t>(52) Uzglabāšanas un transporta palīgdarbības</t>
  </si>
  <si>
    <t>(53) Pasta un kurjeru darbība</t>
  </si>
  <si>
    <t>(55) Izmitināšana</t>
  </si>
  <si>
    <t>(56) Ēdināšanas pakalpojumi</t>
  </si>
  <si>
    <t>(58) Izdevējdarbība</t>
  </si>
  <si>
    <t>(59) Kinofilmu, video filmu, televīzijas programmu un skaņu ierakstu producēšana</t>
  </si>
  <si>
    <t>(60) Radio un televīzijas programmu izstrāde un apraide</t>
  </si>
  <si>
    <t>(61) Telekomunikācija</t>
  </si>
  <si>
    <t>(62) Datorprogrammēšana, konsultēšana un saistītas darbības</t>
  </si>
  <si>
    <t>(63) Informācijas pakalpojumi</t>
  </si>
  <si>
    <t>(64) Finanšu pakalpojumu darbības, izņemot apdrošināšanu un pensiju uzkrāšanu</t>
  </si>
  <si>
    <t>(65) Apdrošināšana, pārapdrošināšana un pensiju uzkrāšana, izņemot obligāto sociālo apdrošināšanu</t>
  </si>
  <si>
    <t>(66) Finanšu pakalpojumus un apdrošināšanas darbības papildinošas darbības</t>
  </si>
  <si>
    <t>(68) Operācijas ar nekustamo īpašumu</t>
  </si>
  <si>
    <t>(69) Juridiskie un grāmatvedības pakalpojumi</t>
  </si>
  <si>
    <t>(70) Centrālo biroju darbība; konsultēšana komercdarbībā un vadībzinībās</t>
  </si>
  <si>
    <t>(71) Arhitektūras un inženiertehniskie pakalpojumi; tehniskā pārbaude un analīze</t>
  </si>
  <si>
    <t>(72) Zinātniskās pētniecības darbs</t>
  </si>
  <si>
    <t>(73) Reklāmas un tirgus izpētes pakalpojumi</t>
  </si>
  <si>
    <t>(74) Citi profesionālie, zinātniskie un tehniskie pakalpojumi</t>
  </si>
  <si>
    <t>(75) Veterinārie pakalpojumi</t>
  </si>
  <si>
    <t>(77) Iznomāšana un ekspluatācijas līzings</t>
  </si>
  <si>
    <t>(78) Darbaspēka meklēšana un nodrošināšana ar personālu</t>
  </si>
  <si>
    <t>(79) Ceļojumu biroju, tūrisma operatoru rezervēšanas pakalpojumi un ar tiem saistīti pasākumi</t>
  </si>
  <si>
    <t>(80) Apsardzes pakalpojumi un izmeklēšana</t>
  </si>
  <si>
    <t>(81) Būvniecības un ainavu arhitektu pakalpojumi</t>
  </si>
  <si>
    <t>(82) Biroju administratīvās darbības un citas uzņēmumu palīgdarbības</t>
  </si>
  <si>
    <t>(84) Valsts pārvalde un aizsardzība; obligātā sociālā apdrošināšana</t>
  </si>
  <si>
    <t>(85) Izglītība</t>
  </si>
  <si>
    <t>(86) Veselības aizsardzība</t>
  </si>
  <si>
    <t>(87) Sociālā aprūpe ar izmitināšanu</t>
  </si>
  <si>
    <t>(88) Sociālā aprūpe bez izmitināšanas</t>
  </si>
  <si>
    <t>(90) Radošas, mākslinieciskas un izklaides darbības</t>
  </si>
  <si>
    <t>(91) Bibliotēku, arhīvu, muzeju un citu kultūras iestāžu darbība</t>
  </si>
  <si>
    <t>(92) Azartspēles un derības</t>
  </si>
  <si>
    <t>(93) Sporta nodarbības, izklaides un atpūtas darbība</t>
  </si>
  <si>
    <t>(94) Sabiedrisko, politisko un citu organizāciju darbība</t>
  </si>
  <si>
    <t>(95) Datoru, individuālās lietošanas priekšmetu un mājsaimniecības piederumu remonts</t>
  </si>
  <si>
    <t>(96) Pārējo individuālo pakalpojumu sniegšana</t>
  </si>
  <si>
    <t>Profesionālā vidējā</t>
  </si>
  <si>
    <t>Indekss</t>
  </si>
  <si>
    <t>Pamatizglītība gada alga</t>
  </si>
  <si>
    <t>Pamatizglītība mēneša alga</t>
  </si>
  <si>
    <t>Vispārējā vidējā</t>
  </si>
  <si>
    <t>Izglītojamo skaits, kas izvēlas studēt profesionālās izglītības iestādē nevis uzsākt darbu pēc pamatskolas beigšanas (kumulatīvi) +4 gadi</t>
  </si>
  <si>
    <t>No kopējā</t>
  </si>
  <si>
    <t>Svars</t>
  </si>
  <si>
    <t>Svērtais indekss</t>
  </si>
  <si>
    <t>Atbirums pamatskolā vidēji</t>
  </si>
  <si>
    <t>Produktivitāte uz vienu nodarbināto gadā</t>
  </si>
  <si>
    <t>Procenti</t>
  </si>
  <si>
    <t>DSS3.3_E. BRUTO DARBA SAMAKSA VIDĒJI MĒNESĪ PA DARBĪBAS VEIDIEM UN IZGLĪTĪBAS LĪMEŅIEM</t>
  </si>
  <si>
    <t>Indeksēta bruto alga</t>
  </si>
  <si>
    <t>Algas pieauguma koeficients pret pamatizglītību pa nodarēm un izglītības līmeni</t>
  </si>
  <si>
    <t>Proporcija darbības jomai pret kopējo skaitu prioritārajā jomā</t>
  </si>
  <si>
    <t>Dzimušo skaits</t>
  </si>
  <si>
    <t>Darba atbilstība iegūtajai izglītībai, profesionālā izglītība</t>
  </si>
  <si>
    <t>Pirmā klasē</t>
  </si>
  <si>
    <t>Gadi šobrīd</t>
  </si>
  <si>
    <t>2016./2017.m.g.</t>
  </si>
  <si>
    <t>2017./2018.m.g.</t>
  </si>
  <si>
    <t>2018./2019.m.g.</t>
  </si>
  <si>
    <t>2019./2020.m.g.</t>
  </si>
  <si>
    <t>2020./2021.m.g.</t>
  </si>
  <si>
    <t>2021./2022.m.g.</t>
  </si>
  <si>
    <t>Šobrīt mācās</t>
  </si>
  <si>
    <t>Studējošo, kas izvēlējās profesionālo izglītību augstākās izglītības vietā starpība</t>
  </si>
  <si>
    <t>Ieguvumi no ieguldījumiem uz IKP</t>
  </si>
  <si>
    <t>2.3</t>
  </si>
  <si>
    <t>Izmaksu ietaupījums no priekšlaicīgi mācības pametušo izglītojamo skaita samazinājuma</t>
  </si>
  <si>
    <t>Ieguvumi no darba algas pieauguma</t>
  </si>
  <si>
    <t>Ieguvumi no nodokļu ieņēmumiem</t>
  </si>
  <si>
    <t>Investīciju atdeves aprēķins</t>
  </si>
  <si>
    <t>Kopējais SAM 8.1.3 investīciju apjoms (milj. euro)</t>
  </si>
  <si>
    <t>Maksimālais piesaistīto apjoms</t>
  </si>
  <si>
    <t>Multiplikators uz IKP, inducētais</t>
  </si>
  <si>
    <t>Ieguldījumi</t>
  </si>
  <si>
    <t>Kopējais efekts</t>
  </si>
  <si>
    <t>Investīciju apjoms</t>
  </si>
  <si>
    <t>1.6.</t>
  </si>
  <si>
    <t>Izglītojamie, kas turpina izglītību profesionālās izglītības iestādēs pēc pamatskolas beigšanas</t>
  </si>
  <si>
    <t>Pamatskolas beidzēji, kas neturpina mācības</t>
  </si>
  <si>
    <t>Piesaistāmo daļa</t>
  </si>
  <si>
    <t>Atbirums pa prioritārajām jomām</t>
  </si>
  <si>
    <t>Country</t>
  </si>
  <si>
    <t>General progammes 3 years</t>
  </si>
  <si>
    <t>General progammes 3 years (N+2)</t>
  </si>
  <si>
    <t>General progammes 4 years</t>
  </si>
  <si>
    <t>General progammes 4 years (N+2)</t>
  </si>
  <si>
    <t>Vocational progammes 3 years</t>
  </si>
  <si>
    <t>Vocational progammes 3 years (N+2)</t>
  </si>
  <si>
    <t>Vocational progammes 4 years</t>
  </si>
  <si>
    <t>Vocational progammes 4 years (N+2)</t>
  </si>
  <si>
    <t>Slovak Republic1</t>
  </si>
  <si>
    <t>Japan1</t>
  </si>
  <si>
    <t>Israel1</t>
  </si>
  <si>
    <t>Greece1</t>
  </si>
  <si>
    <t>Hungary1</t>
  </si>
  <si>
    <t>Estonia</t>
  </si>
  <si>
    <t>Poland1</t>
  </si>
  <si>
    <t>Slovenia1</t>
  </si>
  <si>
    <t>Belgium (Fl.)</t>
  </si>
  <si>
    <t>Denmark</t>
  </si>
  <si>
    <t>Finland</t>
  </si>
  <si>
    <t>Sweden</t>
  </si>
  <si>
    <t>Turkey1</t>
  </si>
  <si>
    <t>Norway</t>
  </si>
  <si>
    <t>Austria1</t>
  </si>
  <si>
    <t>Netherlands</t>
  </si>
  <si>
    <t>New Zealand</t>
  </si>
  <si>
    <t>Chile</t>
  </si>
  <si>
    <t>Mexico1</t>
  </si>
  <si>
    <t>Luxembourg</t>
  </si>
  <si>
    <t>France2</t>
  </si>
  <si>
    <t>Spain3</t>
  </si>
  <si>
    <t>https://www.oecd.org/edu/Education-at-a-Glance-2014.pdf</t>
  </si>
  <si>
    <t>Atbirums gadā</t>
  </si>
  <si>
    <t>Nodarbinātība pa izglītības līmeņiem</t>
  </si>
  <si>
    <t>Nodarbinātie</t>
  </si>
  <si>
    <t>Bezdarbnieki</t>
  </si>
  <si>
    <t>Proporcija no izglītības ieguvušajiem</t>
  </si>
  <si>
    <t>Par katru izglītībā investēto milj euro tiek piesaistīti</t>
  </si>
  <si>
    <t xml:space="preserve">Saliekamu koka vai metāla paneļu ēkas, koka stāvbūves </t>
  </si>
  <si>
    <t xml:space="preserve">Vieglas konstrukcijas ēkas un pārējās ēkas </t>
  </si>
  <si>
    <t>Datortehnika, sakaru un biroja tehnika</t>
  </si>
  <si>
    <t>Mēbeles, biroja aprīkojums un pārējie pamatlīdzekļi</t>
  </si>
  <si>
    <t>Ūdensvadu, siltumtrašu, kanalizācijas tīklu būves un citas inženierbūves</t>
  </si>
  <si>
    <t>Projekta kopējās (attiecināmās + neattiecināmās) izmaksas, EUR (iekļaujot PVN)</t>
  </si>
  <si>
    <t>Vērtība, EUR</t>
  </si>
  <si>
    <t>Projekta gads, kurā visi pamatlīdzekļi nodoti ekspluatācijā</t>
  </si>
  <si>
    <t>Ieguldījuma veids</t>
  </si>
  <si>
    <t>Ieguldījuma apraksts</t>
  </si>
  <si>
    <t>Iespējamais pieaugums</t>
  </si>
  <si>
    <t>Maksimāli piesaistīto apmācāmo skaits no pamatskolas neturpinātājiem</t>
  </si>
  <si>
    <t>Labākais baltijas valstīs (Lietuva) - dabiskais līmenis</t>
  </si>
  <si>
    <t>Piesaistīto apmācāmo skaits no pamatskolas beidzējiem, kas neturpina</t>
  </si>
  <si>
    <t>Piesaistīto apmācāmo skaits no vidusskolas beidzējiem</t>
  </si>
  <si>
    <t>Maksimāli piesaistāmo daudzums katrai skolai</t>
  </si>
  <si>
    <t>Early leavers</t>
  </si>
  <si>
    <t>Upper secondary - general</t>
  </si>
  <si>
    <t>Upper secondary - vocational</t>
  </si>
  <si>
    <t>educ_uoe_enrs04; t2020_40</t>
  </si>
  <si>
    <t>Izmaiņas gadā</t>
  </si>
  <si>
    <t>Vidējais atbirums 4 gados</t>
  </si>
  <si>
    <t>Latvijā</t>
  </si>
  <si>
    <t>Esošo ēku remontdarbi</t>
  </si>
  <si>
    <t>Kapitālieguldījumu daļa, kas attiecināma uz iekšzemes patēriņu</t>
  </si>
  <si>
    <t>% no visiem piesaistītajiem potenciālie idusskolas beidzēji</t>
  </si>
  <si>
    <t>Arodizglītība vai profesionālā vidējā izglītība</t>
  </si>
  <si>
    <t xml:space="preserve">Izglītības programmu grupa: "viesnīcu un restorānu pakalpojumi"  ,  "tūrisma un atpūtas organizācija" (izglītības klasifikācijas koda 3., 4. un 5.cipars "811"  vai "812") </t>
  </si>
  <si>
    <t>Absolventi, kas uzsāk darbu  atbilstoši kvalifikācijai  (kumulatīvi)</t>
  </si>
  <si>
    <t>Augstākā izglītība studējošo skaits pēc kvalifikācijas iegūšanas</t>
  </si>
  <si>
    <t>Atalgojuma koeficienti atkarībā no izglītības līmeņa</t>
  </si>
  <si>
    <t>Atalgojuma apjoms atkarība no izglītības (bruto) ar pamatskolas izglītību</t>
  </si>
  <si>
    <t>Izmaksas uz vienu augstskolas vietu</t>
  </si>
  <si>
    <t>Gadi</t>
  </si>
  <si>
    <t>http://www.izm.gov.lv/images/izglitiba_augst/5_pielik_koefic.893.pdf</t>
  </si>
  <si>
    <t>6.</t>
  </si>
  <si>
    <t>Par katru izglītībā investēto milj euro piesaistīto skaits</t>
  </si>
  <si>
    <t>9. klase (2015./ 2016. m.g.)</t>
  </si>
  <si>
    <t>Izmaksas, kas saistītas ar papildus augstskolu studentu skaitu</t>
  </si>
  <si>
    <t>Prof beidzēji, kuri bez projekta studētu vispārējā vidusskolā - X</t>
  </si>
  <si>
    <t>X daļa, kas būtu pabeiguši augstskolu un strādātu, ja mācītos vispārējā</t>
  </si>
  <si>
    <t>X daļa, kas būtu pabeiguši augstskolu un strādātu, ja mācītos prof</t>
  </si>
  <si>
    <t>Algas starpība</t>
  </si>
  <si>
    <t>Starpība cilvēku skaitā</t>
  </si>
  <si>
    <t>X daļa, kas būtu aizgājuši uz augstskolu, ja mācītos vispārēj</t>
  </si>
  <si>
    <t>X daļa, kas būtu aizgājuši uz augstskolu, ja mācītos prof</t>
  </si>
  <si>
    <t>Papildus augstkolai piesaistīto studentu skaits</t>
  </si>
  <si>
    <t>Produktivitātes zaudējumi</t>
  </si>
  <si>
    <t>Zaudējumi produktivitātē</t>
  </si>
  <si>
    <t>Profesionālās izglītības iestāžu absolventi, kas izvēlas neturpināt studijas</t>
  </si>
  <si>
    <t>Profesionālās izglītības iestāžu absolventi, kas izvēlas turpināt studijas</t>
  </si>
  <si>
    <t>Kopējās izmaksas par studijām</t>
  </si>
  <si>
    <t>Ieguvumi no izglītības kvalitātes uzlabošanās</t>
  </si>
  <si>
    <t>1.7.</t>
  </si>
  <si>
    <t>Izmaksu ietaupījums no bezdarbnieku pabalsta samazinājuma</t>
  </si>
  <si>
    <t>Min (GBP)</t>
  </si>
  <si>
    <t>Max (GBP)</t>
  </si>
  <si>
    <t>No kopējās</t>
  </si>
  <si>
    <t>Bruto alga</t>
  </si>
  <si>
    <t>Mēneši</t>
  </si>
  <si>
    <t>Bezdarba dienas http://www.lm.gov.lv/upload/darba_tirgus/bezd_situac_jul.pdf</t>
  </si>
  <si>
    <t>Papildu ieguvumi EUR no bezdarbnieku skaita samazināšanās</t>
  </si>
  <si>
    <t>Vidējās bezdarbnieku pabalsta izmaksas valsts budžetā</t>
  </si>
  <si>
    <t>Slovākijā +3%</t>
  </si>
  <si>
    <t>Gads darbs</t>
  </si>
  <si>
    <t>Atbirums Slovākijā</t>
  </si>
  <si>
    <t>Absolventi, kas uzsāk darbu (kumulatīvi)</t>
  </si>
  <si>
    <t>Ieguvums tiem, kuru darbs neatbilst izglītībai</t>
  </si>
  <si>
    <t>Izmaksas gadā eur</t>
  </si>
  <si>
    <t>2022./2023.m.g.</t>
  </si>
  <si>
    <t>Papildus ieguvums no augstskolas beidzējiem</t>
  </si>
  <si>
    <t>Jaunas monolītās ēkas ar dzelzsbetona vai betona karkasu</t>
  </si>
  <si>
    <t>Jaunas mūra ēkas</t>
  </si>
  <si>
    <t>7.</t>
  </si>
  <si>
    <t>Profesionālās izglītības vai profesionālās kultūrizglītības iestādes (PII) nosaukums</t>
  </si>
  <si>
    <t>PII aizpilda ar violetu krāsu atzīmētās šūnas</t>
  </si>
  <si>
    <t>2027./2028.m.g.</t>
  </si>
  <si>
    <t>2026./2027.m.g.</t>
  </si>
  <si>
    <t>2025./2026.m.g.</t>
  </si>
  <si>
    <t>2024./2025.m.g.</t>
  </si>
  <si>
    <t>2023./2024.m.g.</t>
  </si>
  <si>
    <t>Dzimšanas gads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</si>
</sst>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2]* #,##0.00_-;\-[$€-2]* #,##0.00_-;_-[$€-2]* &quot;-&quot;??_-"/>
    <numFmt numFmtId="166" formatCode="dd\ mmm\ yy"/>
    <numFmt numFmtId="167" formatCode="General&quot;.&quot;"/>
    <numFmt numFmtId="168" formatCode="#,##0;\(#,##0\);&quot;-&quot;"/>
    <numFmt numFmtId="169" formatCode="#,##0_);\(#,##0\);&quot; - &quot;_);@_)"/>
    <numFmt numFmtId="170" formatCode="#,##0;[Red]\(#,##0\);0"/>
    <numFmt numFmtId="171" formatCode="d\ mmmm\ yyyy"/>
    <numFmt numFmtId="172" formatCode="0.00;[Red]0.00"/>
    <numFmt numFmtId="173" formatCode="\ #,##0.00_);\(#,##0.00\);&quot; - &quot;_);@_)"/>
    <numFmt numFmtId="174" formatCode="\ #,##0.000_);\(#,##0.000\);&quot; - &quot;_);@_)"/>
    <numFmt numFmtId="175" formatCode="\ #,##0.0_);\(#,##0.0\);&quot; - &quot;_);@_)"/>
    <numFmt numFmtId="176" formatCode="_(\ #,##0.0_%_);_(\ \(#,##0.0_%\);_(\ &quot; - &quot;_%_);_(@_)"/>
    <numFmt numFmtId="177" formatCode="_(\ #,##0.0%_);_(\ \(#,##0.0%\);_(\ &quot; - &quot;\%_);_(@_)"/>
    <numFmt numFmtId="178" formatCode="_(* #,###.0_);_(* \(#,###.0\);_(* &quot;-&quot;?_);_(@_)"/>
    <numFmt numFmtId="179" formatCode="#,##0;\(#,##0\);&quot;0&quot;"/>
    <numFmt numFmtId="180" formatCode="#,##0.00;\(#,##0.00\);&quot;0&quot;"/>
    <numFmt numFmtId="181" formatCode="#,##0.0000;\(#,##0.0000\);&quot;0&quot;"/>
    <numFmt numFmtId="182" formatCode="_-* #,##0_-;\-* #,##0_-;_-* &quot;-&quot;??_-;_-@_-"/>
    <numFmt numFmtId="183" formatCode="_-* #,##0_-;\-* #,##0_-;_-* &quot;-&quot;???_-;_-@_-"/>
    <numFmt numFmtId="184" formatCode="0.0%"/>
    <numFmt numFmtId="185" formatCode="_-* #,##0.00_-;\-* #,##0.00_-;_-* &quot;-&quot;????_-;_-@_-"/>
  </numFmts>
  <fonts count="123">
    <font>
      <sz val="12"/>
      <name val="Times New Roman"/>
      <family val="0"/>
    </font>
    <font>
      <sz val="11"/>
      <color indexed="8"/>
      <name val="Calibri"/>
      <family val="2"/>
    </font>
    <font>
      <sz val="10"/>
      <name val="Arial"/>
      <family val="2"/>
    </font>
    <font>
      <i/>
      <sz val="10"/>
      <color indexed="32"/>
      <name val="Arial Narrow"/>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8"/>
      <name val="Arial"/>
      <family val="2"/>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font>
    <font>
      <b/>
      <sz val="10.5"/>
      <name val="Times New Roman"/>
      <family val="1"/>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font>
    <font>
      <b/>
      <sz val="10"/>
      <name val="Arial Narrow"/>
      <family val="2"/>
    </font>
    <font>
      <b/>
      <i/>
      <sz val="10"/>
      <name val="Arial Narrow"/>
      <family val="2"/>
    </font>
    <font>
      <b/>
      <sz val="10"/>
      <color indexed="8"/>
      <name val="Arial"/>
      <family val="2"/>
    </font>
    <font>
      <sz val="10"/>
      <name val="Helv"/>
      <family val="0"/>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0"/>
      <name val="Arial"/>
      <family val="2"/>
    </font>
    <font>
      <u val="singleAccounting"/>
      <sz val="10"/>
      <name val="Times New Roman"/>
      <family val="1"/>
    </font>
    <font>
      <sz val="10"/>
      <name val="MS Sans Serif"/>
      <family val="2"/>
    </font>
    <font>
      <i/>
      <sz val="8"/>
      <name val="Arial"/>
      <family val="2"/>
    </font>
    <font>
      <sz val="8"/>
      <color indexed="8"/>
      <name val="Wingdings"/>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family val="0"/>
    </font>
    <font>
      <sz val="11"/>
      <color indexed="52"/>
      <name val="Calibri"/>
      <family val="2"/>
    </font>
    <font>
      <sz val="11"/>
      <color indexed="10"/>
      <name val="Calibri"/>
      <family val="2"/>
    </font>
    <font>
      <sz val="11"/>
      <color indexed="17"/>
      <name val="Calibri"/>
      <family val="2"/>
    </font>
    <font>
      <sz val="12"/>
      <name val="新細明體"/>
      <family val="0"/>
    </font>
    <font>
      <sz val="8"/>
      <name val="Times New Roman"/>
      <family val="1"/>
    </font>
    <font>
      <b/>
      <sz val="10"/>
      <name val="EYInterstate Light"/>
      <family val="0"/>
    </font>
    <font>
      <sz val="10"/>
      <name val="EYInterstate Light"/>
      <family val="0"/>
    </font>
    <font>
      <b/>
      <sz val="10"/>
      <color indexed="10"/>
      <name val="EYInterstate Light"/>
      <family val="0"/>
    </font>
    <font>
      <i/>
      <sz val="10"/>
      <name val="EYInterstate Light"/>
      <family val="0"/>
    </font>
    <font>
      <b/>
      <sz val="10"/>
      <color indexed="20"/>
      <name val="EYInterstate Light"/>
      <family val="0"/>
    </font>
    <font>
      <sz val="11"/>
      <name val="Times New Roman"/>
      <family val="1"/>
    </font>
    <font>
      <b/>
      <sz val="9"/>
      <name val="Tahoma"/>
      <family val="2"/>
    </font>
    <font>
      <sz val="9"/>
      <name val="Tahoma"/>
      <family val="2"/>
    </font>
    <font>
      <sz val="10"/>
      <color indexed="8"/>
      <name val="MS Sans Serif"/>
      <family val="2"/>
    </font>
    <font>
      <b/>
      <sz val="11"/>
      <name val="Arial"/>
      <family val="2"/>
    </font>
    <font>
      <b/>
      <i/>
      <sz val="10"/>
      <name val="Arial"/>
      <family val="2"/>
    </font>
    <font>
      <b/>
      <sz val="10"/>
      <color indexed="10"/>
      <name val="Arial"/>
      <family val="2"/>
    </font>
    <font>
      <i/>
      <sz val="10"/>
      <name val="Arial"/>
      <family val="2"/>
    </font>
    <font>
      <b/>
      <sz val="10"/>
      <color indexed="20"/>
      <name val="Arial"/>
      <family val="2"/>
    </font>
    <font>
      <b/>
      <sz val="8"/>
      <name val="Arial"/>
      <family val="2"/>
    </font>
    <font>
      <b/>
      <sz val="9"/>
      <name val="Arial"/>
      <family val="2"/>
    </font>
    <font>
      <sz val="9"/>
      <name val="Arial"/>
      <family val="2"/>
    </font>
    <font>
      <i/>
      <sz val="9"/>
      <name val="Arial"/>
      <family val="2"/>
    </font>
    <font>
      <b/>
      <sz val="11"/>
      <name val="Calibri"/>
      <family val="2"/>
    </font>
    <font>
      <sz val="11"/>
      <name val="Arial"/>
      <family val="2"/>
    </font>
    <font>
      <b/>
      <sz val="12"/>
      <name val="Arial"/>
      <family val="2"/>
    </font>
    <font>
      <u val="single"/>
      <sz val="12"/>
      <color indexed="12"/>
      <name val="Times New Roman"/>
      <family val="1"/>
    </font>
    <font>
      <sz val="18"/>
      <color indexed="56"/>
      <name val="Cambria"/>
      <family val="2"/>
    </font>
    <font>
      <sz val="10"/>
      <color indexed="10"/>
      <name val="Arial"/>
      <family val="2"/>
    </font>
    <font>
      <b/>
      <sz val="14"/>
      <color indexed="8"/>
      <name val="Calibri"/>
      <family val="2"/>
    </font>
    <font>
      <sz val="12"/>
      <name val="Calibri"/>
      <family val="2"/>
    </font>
    <font>
      <b/>
      <sz val="10"/>
      <color indexed="8"/>
      <name val="Calibri"/>
      <family val="2"/>
    </font>
    <font>
      <sz val="9"/>
      <name val="Calibri"/>
      <family val="2"/>
    </font>
    <font>
      <b/>
      <sz val="22"/>
      <color indexed="9"/>
      <name val="EYInterstate Light"/>
      <family val="0"/>
    </font>
    <font>
      <b/>
      <sz val="11"/>
      <color indexed="8"/>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sz val="10"/>
      <color rgb="FFFF0000"/>
      <name val="Arial"/>
      <family val="2"/>
    </font>
    <font>
      <b/>
      <sz val="14"/>
      <color rgb="FF000000"/>
      <name val="Calibri"/>
      <family val="2"/>
    </font>
    <font>
      <b/>
      <sz val="11"/>
      <color rgb="FF000000"/>
      <name val="Calibri"/>
      <family val="2"/>
    </font>
    <font>
      <b/>
      <sz val="10"/>
      <color rgb="FF000000"/>
      <name val="Calibri"/>
      <family val="2"/>
    </font>
    <font>
      <b/>
      <sz val="22"/>
      <color theme="0"/>
      <name val="EYInterstate Light"/>
      <family val="0"/>
    </font>
    <font>
      <b/>
      <sz val="11"/>
      <color rgb="FF000000"/>
      <name val="Arial"/>
      <family val="2"/>
    </font>
    <font>
      <b/>
      <sz val="11"/>
      <color theme="0"/>
      <name val="Arial"/>
      <family val="2"/>
    </font>
    <font>
      <b/>
      <sz val="8"/>
      <name val="Times New Roman"/>
      <family val="2"/>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2" tint="-0.24997000396251678"/>
        <bgColor indexed="64"/>
      </patternFill>
    </fill>
    <fill>
      <patternFill patternType="darkGrid">
        <bgColor theme="2"/>
      </patternFill>
    </fill>
    <fill>
      <patternFill patternType="solid">
        <fgColor theme="2" tint="-0.09996999800205231"/>
        <bgColor indexed="64"/>
      </patternFill>
    </fill>
    <fill>
      <patternFill patternType="mediumGray">
        <bgColor theme="0" tint="-0.04997999966144562"/>
      </patternFill>
    </fill>
    <fill>
      <patternFill patternType="solid">
        <fgColor rgb="FFC893C7"/>
        <bgColor indexed="64"/>
      </patternFill>
    </fill>
    <fill>
      <patternFill patternType="solid">
        <fgColor rgb="FFFFE600"/>
        <bgColor indexed="64"/>
      </patternFill>
    </fill>
    <fill>
      <patternFill patternType="solid">
        <fgColor rgb="FFC0C0C0"/>
        <bgColor indexed="64"/>
      </patternFill>
    </fill>
    <fill>
      <patternFill patternType="solid">
        <fgColor rgb="FFFFA07A"/>
        <bgColor indexed="64"/>
      </patternFill>
    </fill>
    <fill>
      <patternFill patternType="solid">
        <fgColor rgb="FFDBE5F1"/>
        <bgColor indexed="64"/>
      </patternFill>
    </fill>
    <fill>
      <patternFill patternType="solid">
        <fgColor rgb="FFD8D2E0"/>
        <bgColor indexed="64"/>
      </patternFill>
    </fill>
    <fill>
      <patternFill patternType="solid">
        <fgColor rgb="FF333333"/>
        <bgColor indexed="64"/>
      </patternFill>
    </fill>
  </fills>
  <borders count="56">
    <border>
      <left/>
      <right/>
      <top/>
      <bottom/>
      <diagonal/>
    </border>
    <border>
      <left/>
      <right/>
      <top style="thin">
        <color indexed="32"/>
      </top>
      <bottom style="thin">
        <color indexed="3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border>
    <border>
      <left style="thin"/>
      <right style="thin">
        <color indexed="8"/>
      </right>
      <top style="thin"/>
      <bottom style="thin"/>
    </border>
    <border>
      <left style="hair"/>
      <right style="hair"/>
      <top style="hair"/>
      <bottom style="hair"/>
    </border>
    <border>
      <left style="hair"/>
      <right style="hair"/>
      <top/>
      <bottom style="hair"/>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top/>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2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8" fontId="3" fillId="0" borderId="1">
      <alignment horizontal="left" vertical="center"/>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168" fontId="3" fillId="0" borderId="1">
      <alignment horizontal="left" vertical="center"/>
      <protection/>
    </xf>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94" fillId="34" borderId="0" applyNumberFormat="0" applyBorder="0" applyAlignment="0" applyProtection="0"/>
    <xf numFmtId="0" fontId="94" fillId="35"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38" borderId="0" applyNumberFormat="0" applyBorder="0" applyAlignment="0" applyProtection="0"/>
    <xf numFmtId="0" fontId="94" fillId="39" borderId="0" applyNumberFormat="0" applyBorder="0" applyAlignment="0" applyProtection="0"/>
    <xf numFmtId="0" fontId="5" fillId="0" borderId="0">
      <alignment/>
      <protection/>
    </xf>
    <xf numFmtId="0" fontId="95" fillId="40" borderId="0" applyNumberFormat="0" applyBorder="0" applyAlignment="0" applyProtection="0"/>
    <xf numFmtId="0" fontId="96" fillId="41" borderId="2" applyNumberFormat="0" applyAlignment="0" applyProtection="0"/>
    <xf numFmtId="0" fontId="97" fillId="42" borderId="3" applyNumberFormat="0" applyAlignment="0" applyProtection="0"/>
    <xf numFmtId="0" fontId="6" fillId="43" borderId="0">
      <alignment horizontal="left"/>
      <protection/>
    </xf>
    <xf numFmtId="0" fontId="7" fillId="43" borderId="0">
      <alignment horizontal="right"/>
      <protection/>
    </xf>
    <xf numFmtId="0" fontId="8" fillId="44" borderId="0">
      <alignment horizontal="center"/>
      <protection/>
    </xf>
    <xf numFmtId="0" fontId="7" fillId="43" borderId="0">
      <alignment horizontal="right"/>
      <protection/>
    </xf>
    <xf numFmtId="0" fontId="9" fillId="44"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93" fillId="0" borderId="0" applyFont="0" applyFill="0" applyBorder="0" applyAlignment="0" applyProtection="0"/>
    <xf numFmtId="43" fontId="9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0" fillId="0" borderId="0">
      <alignment/>
      <protection/>
    </xf>
    <xf numFmtId="178" fontId="10" fillId="0" borderId="0">
      <alignment/>
      <protection/>
    </xf>
    <xf numFmtId="164" fontId="11" fillId="0" borderId="0">
      <alignment/>
      <protection/>
    </xf>
    <xf numFmtId="165" fontId="12" fillId="0" borderId="0" applyFont="0" applyFill="0" applyBorder="0" applyAlignment="0" applyProtection="0"/>
    <xf numFmtId="0" fontId="99" fillId="0" borderId="0" applyNumberFormat="0" applyFill="0" applyBorder="0" applyAlignment="0" applyProtection="0"/>
    <xf numFmtId="49" fontId="13" fillId="0" borderId="0" applyNumberFormat="0" applyFill="0" applyBorder="0" applyProtection="0">
      <alignment horizontal="center" vertical="top"/>
    </xf>
    <xf numFmtId="176" fontId="14" fillId="0" borderId="0" applyBorder="0">
      <alignment horizontal="right" vertical="top"/>
      <protection/>
    </xf>
    <xf numFmtId="177" fontId="13" fillId="0" borderId="0" applyBorder="0">
      <alignment horizontal="right" vertical="top"/>
      <protection/>
    </xf>
    <xf numFmtId="177" fontId="14" fillId="0" borderId="0" applyBorder="0">
      <alignment horizontal="right" vertical="top"/>
      <protection/>
    </xf>
    <xf numFmtId="169" fontId="13" fillId="0" borderId="0" applyFill="0" applyBorder="0">
      <alignment horizontal="right" vertical="top"/>
      <protection/>
    </xf>
    <xf numFmtId="175" fontId="13" fillId="0" borderId="0" applyFill="0" applyBorder="0">
      <alignment horizontal="right" vertical="top"/>
      <protection/>
    </xf>
    <xf numFmtId="173" fontId="13" fillId="0" borderId="0" applyFill="0" applyBorder="0">
      <alignment horizontal="right" vertical="top"/>
      <protection/>
    </xf>
    <xf numFmtId="174" fontId="13" fillId="0" borderId="0" applyFill="0" applyBorder="0">
      <alignment horizontal="right" vertical="top"/>
      <protection/>
    </xf>
    <xf numFmtId="0" fontId="15" fillId="0" borderId="0">
      <alignment horizontal="left"/>
      <protection/>
    </xf>
    <xf numFmtId="0" fontId="15" fillId="0" borderId="1">
      <alignment horizontal="right" wrapText="1"/>
      <protection/>
    </xf>
    <xf numFmtId="168" fontId="3" fillId="0" borderId="1">
      <alignment horizontal="left"/>
      <protection/>
    </xf>
    <xf numFmtId="0" fontId="16" fillId="0" borderId="0">
      <alignment vertical="center"/>
      <protection/>
    </xf>
    <xf numFmtId="171" fontId="16" fillId="0" borderId="0">
      <alignment horizontal="left" vertical="center"/>
      <protection/>
    </xf>
    <xf numFmtId="170" fontId="17" fillId="0" borderId="0">
      <alignment vertical="center"/>
      <protection/>
    </xf>
    <xf numFmtId="0" fontId="18" fillId="0" borderId="0">
      <alignment vertical="center"/>
      <protection/>
    </xf>
    <xf numFmtId="168" fontId="3" fillId="0" borderId="1">
      <alignment horizontal="left"/>
      <protection/>
    </xf>
    <xf numFmtId="167" fontId="19" fillId="45" borderId="4" applyAlignment="0" applyProtection="0"/>
    <xf numFmtId="0" fontId="20" fillId="0" borderId="0" applyNumberFormat="0" applyFill="0" applyBorder="0" applyAlignment="0" applyProtection="0"/>
    <xf numFmtId="168" fontId="21" fillId="0" borderId="0" applyFill="0" applyBorder="0">
      <alignment vertical="top"/>
      <protection/>
    </xf>
    <xf numFmtId="168" fontId="22" fillId="0" borderId="0" applyFill="0" applyBorder="0" applyProtection="0">
      <alignment vertical="top"/>
    </xf>
    <xf numFmtId="168" fontId="23" fillId="0" borderId="0">
      <alignment vertical="top"/>
      <protection/>
    </xf>
    <xf numFmtId="168" fontId="13" fillId="0" borderId="0">
      <alignment horizontal="center"/>
      <protection/>
    </xf>
    <xf numFmtId="168" fontId="24" fillId="0" borderId="1">
      <alignment horizontal="center"/>
      <protection/>
    </xf>
    <xf numFmtId="41" fontId="13" fillId="0" borderId="1" applyFill="0" applyBorder="0" applyProtection="0">
      <alignment horizontal="right" vertical="top"/>
    </xf>
    <xf numFmtId="168" fontId="25" fillId="0" borderId="0">
      <alignment/>
      <protection/>
    </xf>
    <xf numFmtId="168" fontId="26" fillId="0" borderId="0">
      <alignment/>
      <protection/>
    </xf>
    <xf numFmtId="168" fontId="27" fillId="0" borderId="0">
      <alignment/>
      <protection/>
    </xf>
    <xf numFmtId="168" fontId="2" fillId="0" borderId="0">
      <alignment/>
      <protection/>
    </xf>
    <xf numFmtId="168" fontId="28" fillId="0" borderId="0">
      <alignment horizontal="left" vertical="top" wrapText="1"/>
      <protection/>
    </xf>
    <xf numFmtId="0" fontId="13" fillId="0" borderId="0" applyFill="0" applyBorder="0">
      <alignment horizontal="left" vertical="top" wrapText="1"/>
      <protection/>
    </xf>
    <xf numFmtId="0" fontId="29" fillId="0" borderId="0">
      <alignment horizontal="left" vertical="top" wrapText="1"/>
      <protection/>
    </xf>
    <xf numFmtId="0" fontId="30" fillId="0" borderId="0">
      <alignment horizontal="left" vertical="top" wrapText="1"/>
      <protection/>
    </xf>
    <xf numFmtId="0" fontId="14" fillId="0" borderId="0">
      <alignment horizontal="left" vertical="top" wrapText="1"/>
      <protection/>
    </xf>
    <xf numFmtId="0" fontId="100" fillId="46" borderId="0" applyNumberFormat="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47" borderId="2" applyNumberFormat="0" applyAlignment="0" applyProtection="0"/>
    <xf numFmtId="0" fontId="6" fillId="43" borderId="0">
      <alignment horizontal="left"/>
      <protection/>
    </xf>
    <xf numFmtId="0" fontId="31" fillId="44" borderId="0">
      <alignment horizontal="left"/>
      <protection/>
    </xf>
    <xf numFmtId="0" fontId="106" fillId="0" borderId="8" applyNumberFormat="0" applyFill="0" applyAlignment="0" applyProtection="0"/>
    <xf numFmtId="0" fontId="107" fillId="48" borderId="0" applyNumberFormat="0" applyBorder="0" applyAlignment="0" applyProtection="0"/>
    <xf numFmtId="2" fontId="32" fillId="0" borderId="0">
      <alignment horizontal="left"/>
      <protection/>
    </xf>
    <xf numFmtId="0" fontId="93" fillId="0" borderId="0">
      <alignment/>
      <protection/>
    </xf>
    <xf numFmtId="0" fontId="93" fillId="0" borderId="0">
      <alignment/>
      <protection/>
    </xf>
    <xf numFmtId="0" fontId="2" fillId="0" borderId="0">
      <alignment/>
      <protection/>
    </xf>
    <xf numFmtId="0" fontId="93" fillId="0" borderId="0">
      <alignment/>
      <protection/>
    </xf>
    <xf numFmtId="0" fontId="2" fillId="0" borderId="0">
      <alignment/>
      <protection/>
    </xf>
    <xf numFmtId="0" fontId="93" fillId="0" borderId="0">
      <alignment/>
      <protection/>
    </xf>
    <xf numFmtId="0" fontId="93" fillId="0" borderId="0">
      <alignment/>
      <protection/>
    </xf>
    <xf numFmtId="0" fontId="98" fillId="0" borderId="0" applyNumberFormat="0" applyBorder="0" applyAlignment="0">
      <protection/>
    </xf>
    <xf numFmtId="0" fontId="93" fillId="0" borderId="0">
      <alignment/>
      <protection/>
    </xf>
    <xf numFmtId="0" fontId="93" fillId="0" borderId="0">
      <alignment/>
      <protection/>
    </xf>
    <xf numFmtId="0" fontId="70" fillId="0" borderId="0">
      <alignment/>
      <protection/>
    </xf>
    <xf numFmtId="0" fontId="5" fillId="0" borderId="0">
      <alignment/>
      <protection/>
    </xf>
    <xf numFmtId="0" fontId="33" fillId="0" borderId="0">
      <alignment/>
      <protection/>
    </xf>
    <xf numFmtId="0" fontId="33" fillId="0" borderId="0">
      <alignment/>
      <protection/>
    </xf>
    <xf numFmtId="0" fontId="70" fillId="0" borderId="0">
      <alignment/>
      <protection/>
    </xf>
    <xf numFmtId="0" fontId="33" fillId="0" borderId="0">
      <alignment/>
      <protection/>
    </xf>
    <xf numFmtId="0" fontId="0" fillId="49" borderId="9" applyNumberFormat="0" applyFont="0" applyAlignment="0" applyProtection="0"/>
    <xf numFmtId="0" fontId="108" fillId="41" borderId="10" applyNumberFormat="0" applyAlignment="0" applyProtection="0"/>
    <xf numFmtId="4" fontId="33" fillId="44" borderId="0">
      <alignment horizontal="right"/>
      <protection/>
    </xf>
    <xf numFmtId="0" fontId="34" fillId="44" borderId="0">
      <alignment horizontal="center" vertical="center"/>
      <protection/>
    </xf>
    <xf numFmtId="0" fontId="6" fillId="50" borderId="11">
      <alignment/>
      <protection/>
    </xf>
    <xf numFmtId="0" fontId="34" fillId="44" borderId="0" applyBorder="0">
      <alignment horizontal="centerContinuous"/>
      <protection/>
    </xf>
    <xf numFmtId="0" fontId="35" fillId="44" borderId="0" applyBorder="0">
      <alignment horizontal="centerContinuous"/>
      <protection/>
    </xf>
    <xf numFmtId="0" fontId="2" fillId="0" borderId="0">
      <alignment/>
      <protection/>
    </xf>
    <xf numFmtId="9" fontId="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8" fillId="0" borderId="0" applyFont="0" applyFill="0" applyBorder="0" applyAlignment="0" applyProtection="0"/>
    <xf numFmtId="0" fontId="31" fillId="51" borderId="0">
      <alignment horizontal="center"/>
      <protection/>
    </xf>
    <xf numFmtId="49" fontId="36" fillId="44" borderId="0">
      <alignment horizontal="center"/>
      <protection/>
    </xf>
    <xf numFmtId="0" fontId="7" fillId="43" borderId="0">
      <alignment horizontal="center"/>
      <protection/>
    </xf>
    <xf numFmtId="0" fontId="7" fillId="43" borderId="0">
      <alignment horizontal="centerContinuous"/>
      <protection/>
    </xf>
    <xf numFmtId="0" fontId="37" fillId="44" borderId="0">
      <alignment horizontal="left"/>
      <protection/>
    </xf>
    <xf numFmtId="49" fontId="37" fillId="44" borderId="0">
      <alignment horizontal="center"/>
      <protection/>
    </xf>
    <xf numFmtId="0" fontId="6" fillId="43" borderId="0">
      <alignment horizontal="left"/>
      <protection/>
    </xf>
    <xf numFmtId="49" fontId="37" fillId="44" borderId="0">
      <alignment horizontal="left"/>
      <protection/>
    </xf>
    <xf numFmtId="0" fontId="6" fillId="43" borderId="0">
      <alignment horizontal="centerContinuous"/>
      <protection/>
    </xf>
    <xf numFmtId="0" fontId="6" fillId="43" borderId="0">
      <alignment horizontal="right"/>
      <protection/>
    </xf>
    <xf numFmtId="49" fontId="31" fillId="44" borderId="0">
      <alignment horizontal="left"/>
      <protection/>
    </xf>
    <xf numFmtId="0" fontId="7" fillId="43" borderId="0">
      <alignment horizontal="right"/>
      <protection/>
    </xf>
    <xf numFmtId="0" fontId="37" fillId="13" borderId="0">
      <alignment horizontal="center"/>
      <protection/>
    </xf>
    <xf numFmtId="0" fontId="38" fillId="13" borderId="0">
      <alignment horizontal="center"/>
      <protection/>
    </xf>
    <xf numFmtId="0" fontId="39" fillId="52" borderId="12" applyNumberFormat="0" applyProtection="0">
      <alignment horizontal="left" vertical="center" indent="1"/>
    </xf>
    <xf numFmtId="172" fontId="33" fillId="53" borderId="12" applyProtection="0">
      <alignment horizontal="right" vertical="center"/>
    </xf>
    <xf numFmtId="41" fontId="40" fillId="0" borderId="0">
      <alignment/>
      <protection/>
    </xf>
    <xf numFmtId="178" fontId="40" fillId="0" borderId="0">
      <alignment/>
      <protection/>
    </xf>
    <xf numFmtId="0" fontId="41" fillId="0" borderId="0">
      <alignment/>
      <protection/>
    </xf>
    <xf numFmtId="0" fontId="42" fillId="0" borderId="0">
      <alignment horizontal="right"/>
      <protection/>
    </xf>
    <xf numFmtId="0" fontId="2" fillId="0" borderId="0" applyNumberFormat="0" applyFill="0" applyBorder="0" applyAlignment="0" applyProtection="0"/>
    <xf numFmtId="0" fontId="37" fillId="0" borderId="0">
      <alignment vertical="top"/>
      <protection/>
    </xf>
    <xf numFmtId="0" fontId="109" fillId="0" borderId="0" applyNumberFormat="0" applyFill="0" applyBorder="0" applyAlignment="0" applyProtection="0"/>
    <xf numFmtId="0" fontId="110" fillId="0" borderId="13" applyNumberFormat="0" applyFill="0" applyAlignment="0" applyProtection="0"/>
    <xf numFmtId="43" fontId="2" fillId="0" borderId="0" applyFont="0" applyFill="0" applyBorder="0" applyAlignment="0" applyProtection="0"/>
    <xf numFmtId="0" fontId="43" fillId="44" borderId="0">
      <alignment horizontal="center"/>
      <protection/>
    </xf>
    <xf numFmtId="0" fontId="111" fillId="0" borderId="0" applyNumberFormat="0" applyFill="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57" borderId="0" applyNumberFormat="0" applyBorder="0" applyAlignment="0" applyProtection="0"/>
    <xf numFmtId="0" fontId="44" fillId="13" borderId="14" applyNumberFormat="0" applyAlignment="0" applyProtection="0"/>
    <xf numFmtId="0" fontId="45" fillId="45" borderId="15" applyNumberFormat="0" applyAlignment="0" applyProtection="0"/>
    <xf numFmtId="0" fontId="46" fillId="45" borderId="14" applyNumberFormat="0" applyAlignment="0" applyProtection="0"/>
    <xf numFmtId="0" fontId="47" fillId="0" borderId="16"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49" fillId="0" borderId="0" applyNumberFormat="0" applyFill="0" applyBorder="0" applyAlignment="0" applyProtection="0"/>
    <xf numFmtId="0" fontId="50" fillId="0" borderId="19" applyNumberFormat="0" applyFill="0" applyAlignment="0" applyProtection="0"/>
    <xf numFmtId="0" fontId="51" fillId="58" borderId="20" applyNumberFormat="0" applyAlignment="0" applyProtection="0"/>
    <xf numFmtId="0" fontId="52" fillId="0" borderId="0" applyNumberFormat="0" applyFill="0" applyBorder="0" applyAlignment="0" applyProtection="0"/>
    <xf numFmtId="0" fontId="53" fillId="51" borderId="0" applyNumberFormat="0" applyBorder="0" applyAlignment="0" applyProtection="0"/>
    <xf numFmtId="0" fontId="2" fillId="0" borderId="0">
      <alignment/>
      <protection/>
    </xf>
    <xf numFmtId="0" fontId="54" fillId="9" borderId="0" applyNumberFormat="0" applyBorder="0" applyAlignment="0" applyProtection="0"/>
    <xf numFmtId="0" fontId="55" fillId="0" borderId="0" applyNumberFormat="0" applyFill="0" applyBorder="0" applyAlignment="0" applyProtection="0"/>
    <xf numFmtId="0" fontId="56" fillId="59" borderId="21" applyNumberFormat="0" applyFont="0" applyAlignment="0" applyProtection="0"/>
    <xf numFmtId="0" fontId="57" fillId="0" borderId="22"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0" borderId="0">
      <alignment vertical="center"/>
      <protection/>
    </xf>
  </cellStyleXfs>
  <cellXfs count="559">
    <xf numFmtId="0" fontId="0" fillId="0" borderId="0" xfId="0" applyAlignment="1">
      <alignment/>
    </xf>
    <xf numFmtId="0" fontId="63" fillId="0" borderId="0" xfId="136" applyFont="1" applyBorder="1" applyProtection="1">
      <alignment/>
      <protection/>
    </xf>
    <xf numFmtId="0" fontId="63" fillId="0" borderId="0" xfId="0" applyFont="1" applyAlignment="1">
      <alignment/>
    </xf>
    <xf numFmtId="0" fontId="65" fillId="58" borderId="23" xfId="136" applyFont="1" applyFill="1" applyBorder="1" applyProtection="1">
      <alignment/>
      <protection locked="0"/>
    </xf>
    <xf numFmtId="0" fontId="62" fillId="58" borderId="0" xfId="136" applyFont="1" applyFill="1" applyBorder="1" applyProtection="1">
      <alignment/>
      <protection locked="0"/>
    </xf>
    <xf numFmtId="0" fontId="63" fillId="58" borderId="0" xfId="136" applyFont="1" applyFill="1" applyBorder="1" applyProtection="1">
      <alignment/>
      <protection locked="0"/>
    </xf>
    <xf numFmtId="0" fontId="63" fillId="58" borderId="11" xfId="136" applyFont="1" applyFill="1" applyBorder="1" applyProtection="1">
      <alignment/>
      <protection locked="0"/>
    </xf>
    <xf numFmtId="0" fontId="63" fillId="58" borderId="24" xfId="136" applyFont="1" applyFill="1" applyBorder="1" applyProtection="1">
      <alignment/>
      <protection locked="0"/>
    </xf>
    <xf numFmtId="0" fontId="63" fillId="58" borderId="25" xfId="136" applyFont="1" applyFill="1" applyBorder="1" applyProtection="1">
      <alignment/>
      <protection locked="0"/>
    </xf>
    <xf numFmtId="0" fontId="62" fillId="58" borderId="26" xfId="136" applyFont="1" applyFill="1" applyBorder="1" applyAlignment="1" applyProtection="1">
      <alignment horizontal="center"/>
      <protection locked="0"/>
    </xf>
    <xf numFmtId="0" fontId="63" fillId="44" borderId="0" xfId="136" applyFont="1" applyFill="1" applyProtection="1">
      <alignment/>
      <protection locked="0"/>
    </xf>
    <xf numFmtId="166" fontId="63" fillId="44" borderId="0" xfId="136" applyNumberFormat="1" applyFont="1" applyFill="1" applyProtection="1">
      <alignment/>
      <protection locked="0"/>
    </xf>
    <xf numFmtId="0" fontId="63" fillId="44" borderId="23" xfId="136" applyFont="1" applyFill="1" applyBorder="1" applyProtection="1">
      <alignment/>
      <protection locked="0"/>
    </xf>
    <xf numFmtId="0" fontId="63" fillId="44" borderId="0" xfId="136" applyFont="1" applyFill="1" applyBorder="1" applyProtection="1">
      <alignment/>
      <protection locked="0"/>
    </xf>
    <xf numFmtId="0" fontId="63" fillId="44" borderId="0" xfId="136" applyFont="1" applyFill="1" applyBorder="1" applyAlignment="1" applyProtection="1">
      <alignment horizontal="left"/>
      <protection locked="0"/>
    </xf>
    <xf numFmtId="0" fontId="62" fillId="58" borderId="27" xfId="136" applyFont="1" applyFill="1" applyBorder="1" applyProtection="1">
      <alignment/>
      <protection locked="0"/>
    </xf>
    <xf numFmtId="0" fontId="63" fillId="58" borderId="28" xfId="136" applyFont="1" applyFill="1" applyBorder="1" applyProtection="1">
      <alignment/>
      <protection locked="0"/>
    </xf>
    <xf numFmtId="0" fontId="63" fillId="58" borderId="29" xfId="136" applyFont="1" applyFill="1" applyBorder="1" applyProtection="1">
      <alignment/>
      <protection locked="0"/>
    </xf>
    <xf numFmtId="167" fontId="62" fillId="45" borderId="30" xfId="96" applyFont="1" applyFill="1" applyBorder="1" applyAlignment="1" applyProtection="1">
      <alignment/>
      <protection locked="0"/>
    </xf>
    <xf numFmtId="167" fontId="62" fillId="45" borderId="4" xfId="96" applyFont="1" applyFill="1" applyBorder="1" applyAlignment="1" applyProtection="1">
      <alignment/>
      <protection locked="0"/>
    </xf>
    <xf numFmtId="167" fontId="62" fillId="45" borderId="4" xfId="96" applyFont="1" applyFill="1" applyBorder="1" applyAlignment="1" applyProtection="1">
      <alignment horizontal="right"/>
      <protection locked="0"/>
    </xf>
    <xf numFmtId="167" fontId="62" fillId="45" borderId="31" xfId="96" applyFont="1" applyFill="1" applyBorder="1" applyAlignment="1" applyProtection="1">
      <alignment horizontal="right"/>
      <protection locked="0"/>
    </xf>
    <xf numFmtId="0" fontId="62" fillId="44" borderId="0" xfId="136" applyFont="1" applyFill="1" applyBorder="1" applyAlignment="1" applyProtection="1">
      <alignment horizontal="left"/>
      <protection locked="0"/>
    </xf>
    <xf numFmtId="0" fontId="63" fillId="0" borderId="0" xfId="0" applyFont="1" applyAlignment="1">
      <alignment horizontal="left"/>
    </xf>
    <xf numFmtId="0" fontId="64" fillId="58" borderId="28" xfId="136" applyFont="1" applyFill="1" applyBorder="1" applyAlignment="1" applyProtection="1">
      <alignment horizontal="left"/>
      <protection locked="0"/>
    </xf>
    <xf numFmtId="0" fontId="66" fillId="58" borderId="0" xfId="136" applyFont="1" applyFill="1" applyBorder="1" applyAlignment="1" applyProtection="1">
      <alignment horizontal="left"/>
      <protection locked="0"/>
    </xf>
    <xf numFmtId="0" fontId="62" fillId="58" borderId="25" xfId="136" applyFont="1" applyFill="1" applyBorder="1" applyAlignment="1" applyProtection="1">
      <alignment horizontal="left"/>
      <protection locked="0"/>
    </xf>
    <xf numFmtId="0" fontId="63" fillId="44" borderId="0" xfId="136" applyFont="1" applyFill="1" applyAlignment="1" applyProtection="1">
      <alignment horizontal="left"/>
      <protection locked="0"/>
    </xf>
    <xf numFmtId="167" fontId="62" fillId="45" borderId="4" xfId="96" applyFont="1" applyFill="1" applyBorder="1" applyAlignment="1" applyProtection="1">
      <alignment horizontal="left"/>
      <protection locked="0"/>
    </xf>
    <xf numFmtId="0" fontId="63" fillId="44" borderId="0" xfId="136" applyFont="1" applyFill="1" applyBorder="1" applyAlignment="1" applyProtection="1">
      <alignment horizontal="left"/>
      <protection/>
    </xf>
    <xf numFmtId="179" fontId="62" fillId="44" borderId="0" xfId="136" applyNumberFormat="1" applyFont="1" applyFill="1" applyProtection="1">
      <alignment/>
      <protection/>
    </xf>
    <xf numFmtId="179" fontId="63" fillId="44" borderId="0" xfId="136" applyNumberFormat="1" applyFont="1" applyFill="1" applyProtection="1">
      <alignment/>
      <protection/>
    </xf>
    <xf numFmtId="179" fontId="63" fillId="0" borderId="28" xfId="0" applyNumberFormat="1" applyFont="1" applyBorder="1" applyAlignment="1">
      <alignment/>
    </xf>
    <xf numFmtId="179" fontId="63" fillId="0" borderId="32" xfId="0" applyNumberFormat="1" applyFont="1" applyBorder="1" applyAlignment="1">
      <alignment/>
    </xf>
    <xf numFmtId="179" fontId="63" fillId="0" borderId="0" xfId="0" applyNumberFormat="1" applyFont="1" applyBorder="1" applyAlignment="1">
      <alignment/>
    </xf>
    <xf numFmtId="179" fontId="63" fillId="0" borderId="33" xfId="0" applyNumberFormat="1" applyFont="1" applyBorder="1" applyAlignment="1">
      <alignment/>
    </xf>
    <xf numFmtId="179" fontId="63" fillId="0" borderId="25" xfId="0" applyNumberFormat="1" applyFont="1" applyBorder="1" applyAlignment="1">
      <alignment/>
    </xf>
    <xf numFmtId="179" fontId="63" fillId="0" borderId="34" xfId="0" applyNumberFormat="1" applyFont="1" applyBorder="1" applyAlignment="1">
      <alignment/>
    </xf>
    <xf numFmtId="179" fontId="63" fillId="58" borderId="25" xfId="136" applyNumberFormat="1" applyFont="1" applyFill="1" applyBorder="1" applyAlignment="1" applyProtection="1">
      <alignment horizontal="right"/>
      <protection locked="0"/>
    </xf>
    <xf numFmtId="179" fontId="62" fillId="44" borderId="0" xfId="136" applyNumberFormat="1" applyFont="1" applyFill="1" applyBorder="1" applyAlignment="1" applyProtection="1">
      <alignment horizontal="left"/>
      <protection locked="0"/>
    </xf>
    <xf numFmtId="179" fontId="62" fillId="44" borderId="0" xfId="136" applyNumberFormat="1" applyFont="1" applyFill="1" applyBorder="1" applyProtection="1">
      <alignment/>
      <protection locked="0"/>
    </xf>
    <xf numFmtId="179" fontId="62" fillId="44" borderId="11" xfId="136" applyNumberFormat="1" applyFont="1" applyFill="1" applyBorder="1" applyAlignment="1" applyProtection="1">
      <alignment horizontal="center"/>
      <protection locked="0"/>
    </xf>
    <xf numFmtId="179" fontId="63" fillId="0" borderId="29" xfId="0" applyNumberFormat="1" applyFont="1" applyBorder="1" applyAlignment="1">
      <alignment/>
    </xf>
    <xf numFmtId="179" fontId="63" fillId="0" borderId="0" xfId="0" applyNumberFormat="1" applyFont="1" applyAlignment="1">
      <alignment/>
    </xf>
    <xf numFmtId="179" fontId="62" fillId="44" borderId="25" xfId="136" applyNumberFormat="1" applyFont="1" applyFill="1" applyBorder="1" applyProtection="1">
      <alignment/>
      <protection locked="0"/>
    </xf>
    <xf numFmtId="179" fontId="62" fillId="44" borderId="26" xfId="136" applyNumberFormat="1" applyFont="1" applyFill="1" applyBorder="1" applyAlignment="1" applyProtection="1">
      <alignment horizontal="center"/>
      <protection locked="0"/>
    </xf>
    <xf numFmtId="179" fontId="62" fillId="45" borderId="4" xfId="96" applyNumberFormat="1" applyFont="1" applyFill="1" applyBorder="1" applyAlignment="1" applyProtection="1">
      <alignment/>
      <protection/>
    </xf>
    <xf numFmtId="179" fontId="63" fillId="45" borderId="4" xfId="0" applyNumberFormat="1" applyFont="1" applyFill="1" applyBorder="1" applyAlignment="1">
      <alignment/>
    </xf>
    <xf numFmtId="179" fontId="62" fillId="0" borderId="0" xfId="0" applyNumberFormat="1" applyFont="1" applyAlignment="1">
      <alignment/>
    </xf>
    <xf numFmtId="179" fontId="63" fillId="0" borderId="11" xfId="0" applyNumberFormat="1" applyFont="1" applyBorder="1" applyAlignment="1">
      <alignment horizontal="center"/>
    </xf>
    <xf numFmtId="179" fontId="63" fillId="44" borderId="11" xfId="136" applyNumberFormat="1" applyFont="1" applyFill="1" applyBorder="1" applyAlignment="1" applyProtection="1">
      <alignment horizontal="center"/>
      <protection/>
    </xf>
    <xf numFmtId="179" fontId="62" fillId="44" borderId="25" xfId="136" applyNumberFormat="1" applyFont="1" applyFill="1" applyBorder="1" applyProtection="1">
      <alignment/>
      <protection/>
    </xf>
    <xf numFmtId="179" fontId="63" fillId="44" borderId="26" xfId="136" applyNumberFormat="1" applyFont="1" applyFill="1" applyBorder="1" applyAlignment="1" applyProtection="1">
      <alignment horizontal="center"/>
      <protection/>
    </xf>
    <xf numFmtId="179" fontId="62" fillId="44" borderId="28" xfId="136" applyNumberFormat="1" applyFont="1" applyFill="1" applyBorder="1" applyAlignment="1" applyProtection="1">
      <alignment horizontal="left"/>
      <protection locked="0"/>
    </xf>
    <xf numFmtId="179" fontId="62" fillId="44" borderId="28" xfId="136" applyNumberFormat="1" applyFont="1" applyFill="1" applyBorder="1" applyProtection="1">
      <alignment/>
      <protection locked="0"/>
    </xf>
    <xf numFmtId="179" fontId="62" fillId="44" borderId="29" xfId="136" applyNumberFormat="1" applyFont="1" applyFill="1" applyBorder="1" applyAlignment="1" applyProtection="1">
      <alignment horizontal="center"/>
      <protection locked="0"/>
    </xf>
    <xf numFmtId="179" fontId="63" fillId="0" borderId="11" xfId="0" applyNumberFormat="1" applyFont="1" applyBorder="1" applyAlignment="1">
      <alignment/>
    </xf>
    <xf numFmtId="179" fontId="63" fillId="0" borderId="0" xfId="0" applyNumberFormat="1" applyFont="1" applyBorder="1" applyAlignment="1">
      <alignment horizontal="left"/>
    </xf>
    <xf numFmtId="179" fontId="63" fillId="0" borderId="25" xfId="0" applyNumberFormat="1" applyFont="1" applyBorder="1" applyAlignment="1">
      <alignment horizontal="left"/>
    </xf>
    <xf numFmtId="179" fontId="63" fillId="0" borderId="26" xfId="0" applyNumberFormat="1" applyFont="1" applyBorder="1" applyAlignment="1">
      <alignment/>
    </xf>
    <xf numFmtId="179" fontId="62" fillId="45" borderId="31" xfId="96" applyNumberFormat="1" applyFont="1" applyFill="1" applyBorder="1" applyAlignment="1" applyProtection="1">
      <alignment/>
      <protection/>
    </xf>
    <xf numFmtId="179" fontId="63" fillId="44" borderId="0" xfId="173" applyNumberFormat="1" applyFont="1" applyFill="1" applyAlignment="1" applyProtection="1">
      <alignment/>
      <protection/>
    </xf>
    <xf numFmtId="181" fontId="63" fillId="44" borderId="25" xfId="136" applyNumberFormat="1" applyFont="1" applyFill="1" applyBorder="1" applyProtection="1">
      <alignment/>
      <protection/>
    </xf>
    <xf numFmtId="180" fontId="63" fillId="0" borderId="0" xfId="0" applyNumberFormat="1" applyFont="1" applyAlignment="1">
      <alignment horizontal="center"/>
    </xf>
    <xf numFmtId="10" fontId="63" fillId="0" borderId="0" xfId="0" applyNumberFormat="1" applyFont="1" applyAlignment="1">
      <alignment horizontal="center"/>
    </xf>
    <xf numFmtId="179" fontId="63" fillId="60" borderId="28" xfId="136" applyNumberFormat="1" applyFont="1" applyFill="1" applyBorder="1" applyAlignment="1" applyProtection="1">
      <alignment horizontal="right"/>
      <protection locked="0"/>
    </xf>
    <xf numFmtId="179" fontId="63" fillId="60" borderId="0" xfId="136" applyNumberFormat="1" applyFont="1" applyFill="1" applyBorder="1" applyAlignment="1" applyProtection="1">
      <alignment horizontal="right"/>
      <protection/>
    </xf>
    <xf numFmtId="179" fontId="62" fillId="60" borderId="32" xfId="136" applyNumberFormat="1" applyFont="1" applyFill="1" applyBorder="1" applyAlignment="1" applyProtection="1">
      <alignment horizontal="right"/>
      <protection locked="0"/>
    </xf>
    <xf numFmtId="179" fontId="62" fillId="60" borderId="33" xfId="136" applyNumberFormat="1" applyFont="1" applyFill="1" applyBorder="1" applyAlignment="1" applyProtection="1">
      <alignment horizontal="right"/>
      <protection locked="0"/>
    </xf>
    <xf numFmtId="179" fontId="63" fillId="61" borderId="0" xfId="136" applyNumberFormat="1" applyFont="1" applyFill="1" applyBorder="1" applyProtection="1">
      <alignment/>
      <protection locked="0"/>
    </xf>
    <xf numFmtId="179" fontId="63" fillId="61" borderId="11" xfId="136" applyNumberFormat="1" applyFont="1" applyFill="1" applyBorder="1" applyProtection="1">
      <alignment/>
      <protection locked="0"/>
    </xf>
    <xf numFmtId="179" fontId="63" fillId="60" borderId="11" xfId="136" applyNumberFormat="1" applyFont="1" applyFill="1" applyBorder="1" applyAlignment="1" applyProtection="1">
      <alignment horizontal="right"/>
      <protection/>
    </xf>
    <xf numFmtId="0" fontId="63" fillId="60" borderId="0" xfId="0" applyFont="1" applyFill="1" applyBorder="1" applyAlignment="1">
      <alignment/>
    </xf>
    <xf numFmtId="0" fontId="63" fillId="60" borderId="11" xfId="0" applyFont="1" applyFill="1" applyBorder="1" applyAlignment="1">
      <alignment/>
    </xf>
    <xf numFmtId="0" fontId="22" fillId="45" borderId="35" xfId="125" applyFont="1" applyFill="1" applyBorder="1" applyAlignment="1">
      <alignment horizontal="center" vertical="center" wrapText="1"/>
      <protection/>
    </xf>
    <xf numFmtId="0" fontId="2" fillId="0" borderId="0" xfId="129">
      <alignment/>
      <protection/>
    </xf>
    <xf numFmtId="0" fontId="72" fillId="0" borderId="36" xfId="129" applyFont="1" applyBorder="1">
      <alignment/>
      <protection/>
    </xf>
    <xf numFmtId="0" fontId="72" fillId="0" borderId="37" xfId="129" applyFont="1" applyBorder="1">
      <alignment/>
      <protection/>
    </xf>
    <xf numFmtId="0" fontId="72" fillId="0" borderId="38" xfId="129" applyFont="1" applyBorder="1">
      <alignment/>
      <protection/>
    </xf>
    <xf numFmtId="0" fontId="72" fillId="0" borderId="39" xfId="129" applyFont="1" applyBorder="1">
      <alignment/>
      <protection/>
    </xf>
    <xf numFmtId="0" fontId="2" fillId="0" borderId="37" xfId="129" applyFont="1" applyBorder="1">
      <alignment/>
      <protection/>
    </xf>
    <xf numFmtId="0" fontId="2" fillId="0" borderId="38" xfId="129" applyFont="1" applyBorder="1">
      <alignment/>
      <protection/>
    </xf>
    <xf numFmtId="0" fontId="31" fillId="0" borderId="39" xfId="139" applyFont="1" applyFill="1" applyBorder="1" applyAlignment="1">
      <alignment horizontal="left" wrapText="1"/>
      <protection/>
    </xf>
    <xf numFmtId="0" fontId="31" fillId="0" borderId="37" xfId="139" applyFont="1" applyFill="1" applyBorder="1" applyAlignment="1">
      <alignment horizontal="left" wrapText="1"/>
      <protection/>
    </xf>
    <xf numFmtId="0" fontId="31" fillId="0" borderId="38" xfId="139" applyFont="1" applyFill="1" applyBorder="1" applyAlignment="1">
      <alignment horizontal="left" wrapText="1"/>
      <protection/>
    </xf>
    <xf numFmtId="0" fontId="33" fillId="0" borderId="39" xfId="139" applyFont="1" applyFill="1" applyBorder="1" applyAlignment="1">
      <alignment horizontal="left" wrapText="1"/>
      <protection/>
    </xf>
    <xf numFmtId="0" fontId="33" fillId="0" borderId="37" xfId="139" applyFont="1" applyFill="1" applyBorder="1" applyAlignment="1">
      <alignment horizontal="left" wrapText="1"/>
      <protection/>
    </xf>
    <xf numFmtId="0" fontId="33" fillId="0" borderId="38" xfId="139" applyFont="1" applyFill="1" applyBorder="1" applyAlignment="1">
      <alignment horizontal="left" wrapText="1"/>
      <protection/>
    </xf>
    <xf numFmtId="0" fontId="2" fillId="0" borderId="35" xfId="129" applyFont="1" applyBorder="1">
      <alignment/>
      <protection/>
    </xf>
    <xf numFmtId="0" fontId="39" fillId="0" borderId="35" xfId="129" applyFont="1" applyBorder="1">
      <alignment/>
      <protection/>
    </xf>
    <xf numFmtId="0" fontId="2" fillId="0" borderId="39" xfId="129" applyFont="1" applyBorder="1" applyAlignment="1">
      <alignment horizontal="right"/>
      <protection/>
    </xf>
    <xf numFmtId="0" fontId="2" fillId="0" borderId="37" xfId="129" applyFont="1" applyBorder="1" applyAlignment="1">
      <alignment horizontal="right"/>
      <protection/>
    </xf>
    <xf numFmtId="0" fontId="2" fillId="0" borderId="38" xfId="129" applyFont="1" applyBorder="1" applyAlignment="1">
      <alignment horizontal="right"/>
      <protection/>
    </xf>
    <xf numFmtId="0" fontId="39" fillId="0" borderId="35" xfId="129" applyFont="1" applyBorder="1" applyAlignment="1">
      <alignment horizontal="center" vertical="center"/>
      <protection/>
    </xf>
    <xf numFmtId="0" fontId="2" fillId="0" borderId="36" xfId="129" applyFont="1" applyBorder="1">
      <alignment/>
      <protection/>
    </xf>
    <xf numFmtId="0" fontId="2" fillId="0" borderId="38" xfId="129" applyFont="1" applyBorder="1" applyAlignment="1">
      <alignment horizontal="center"/>
      <protection/>
    </xf>
    <xf numFmtId="0" fontId="93" fillId="0" borderId="0" xfId="126">
      <alignment/>
      <protection/>
    </xf>
    <xf numFmtId="0" fontId="71" fillId="0" borderId="0" xfId="148" applyFont="1" applyAlignment="1">
      <alignment horizontal="center"/>
      <protection/>
    </xf>
    <xf numFmtId="0" fontId="39" fillId="0" borderId="35" xfId="148" applyFont="1" applyBorder="1" applyAlignment="1">
      <alignment horizontal="center" vertical="center"/>
      <protection/>
    </xf>
    <xf numFmtId="0" fontId="112" fillId="0" borderId="37" xfId="126" applyFont="1" applyBorder="1" applyAlignment="1">
      <alignment horizontal="left" vertical="center"/>
      <protection/>
    </xf>
    <xf numFmtId="0" fontId="112" fillId="0" borderId="37" xfId="126" applyFont="1" applyBorder="1" applyAlignment="1">
      <alignment vertical="center"/>
      <protection/>
    </xf>
    <xf numFmtId="0" fontId="113" fillId="0" borderId="36" xfId="126" applyFont="1" applyBorder="1" applyAlignment="1">
      <alignment vertical="center"/>
      <protection/>
    </xf>
    <xf numFmtId="0" fontId="112" fillId="0" borderId="36" xfId="126" applyFont="1" applyBorder="1" applyAlignment="1">
      <alignment horizontal="left" vertical="center"/>
      <protection/>
    </xf>
    <xf numFmtId="0" fontId="112" fillId="0" borderId="36" xfId="126" applyFont="1" applyBorder="1" applyAlignment="1">
      <alignment vertical="center"/>
      <protection/>
    </xf>
    <xf numFmtId="0" fontId="113" fillId="0" borderId="37" xfId="126" applyFont="1" applyBorder="1" applyAlignment="1">
      <alignment vertical="center"/>
      <protection/>
    </xf>
    <xf numFmtId="0" fontId="112" fillId="0" borderId="38" xfId="126" applyFont="1" applyBorder="1" applyAlignment="1">
      <alignment vertical="center"/>
      <protection/>
    </xf>
    <xf numFmtId="0" fontId="113" fillId="0" borderId="38" xfId="126" applyFont="1" applyBorder="1" applyAlignment="1">
      <alignment horizontal="center" vertical="center"/>
      <protection/>
    </xf>
    <xf numFmtId="0" fontId="113" fillId="0" borderId="36" xfId="126" applyFont="1" applyBorder="1" applyAlignment="1">
      <alignment horizontal="left" vertical="center"/>
      <protection/>
    </xf>
    <xf numFmtId="0" fontId="113" fillId="0" borderId="37" xfId="126" applyFont="1" applyBorder="1" applyAlignment="1">
      <alignment horizontal="left" vertical="center"/>
      <protection/>
    </xf>
    <xf numFmtId="0" fontId="113" fillId="0" borderId="40" xfId="126" applyFont="1" applyBorder="1" applyAlignment="1">
      <alignment horizontal="left" vertical="center"/>
      <protection/>
    </xf>
    <xf numFmtId="0" fontId="113" fillId="0" borderId="40" xfId="126" applyFont="1" applyBorder="1" applyAlignment="1">
      <alignment vertical="center"/>
      <protection/>
    </xf>
    <xf numFmtId="0" fontId="112" fillId="0" borderId="35" xfId="126" applyFont="1" applyBorder="1" applyAlignment="1">
      <alignment vertical="center"/>
      <protection/>
    </xf>
    <xf numFmtId="0" fontId="114" fillId="0" borderId="39" xfId="126" applyFont="1" applyBorder="1" applyAlignment="1">
      <alignment vertical="center"/>
      <protection/>
    </xf>
    <xf numFmtId="0" fontId="114" fillId="0" borderId="36" xfId="126" applyFont="1" applyBorder="1" applyAlignment="1">
      <alignment vertical="center"/>
      <protection/>
    </xf>
    <xf numFmtId="0" fontId="114" fillId="0" borderId="37" xfId="126" applyFont="1" applyBorder="1" applyAlignment="1">
      <alignment vertical="center"/>
      <protection/>
    </xf>
    <xf numFmtId="0" fontId="114" fillId="0" borderId="37" xfId="126" applyFont="1" applyBorder="1" applyAlignment="1">
      <alignment horizontal="center" vertical="center"/>
      <protection/>
    </xf>
    <xf numFmtId="0" fontId="114" fillId="0" borderId="37" xfId="126" applyFont="1" applyBorder="1" applyAlignment="1">
      <alignment vertical="center"/>
      <protection/>
    </xf>
    <xf numFmtId="0" fontId="113" fillId="0" borderId="38" xfId="126" applyFont="1" applyBorder="1" applyAlignment="1">
      <alignment vertical="center"/>
      <protection/>
    </xf>
    <xf numFmtId="0" fontId="114" fillId="0" borderId="38" xfId="126" applyFont="1" applyBorder="1" applyAlignment="1">
      <alignment vertical="center"/>
      <protection/>
    </xf>
    <xf numFmtId="0" fontId="114" fillId="0" borderId="38" xfId="126" applyFont="1" applyBorder="1" applyAlignment="1">
      <alignment vertical="center"/>
      <protection/>
    </xf>
    <xf numFmtId="0" fontId="31" fillId="62" borderId="35" xfId="138" applyFont="1" applyFill="1" applyBorder="1" applyAlignment="1">
      <alignment horizontal="center" vertical="center"/>
      <protection/>
    </xf>
    <xf numFmtId="0" fontId="39" fillId="62" borderId="35" xfId="148" applyFont="1" applyFill="1" applyBorder="1" applyAlignment="1">
      <alignment horizontal="center" vertical="center"/>
      <protection/>
    </xf>
    <xf numFmtId="0" fontId="33" fillId="62" borderId="39" xfId="137" applyFont="1" applyFill="1" applyBorder="1" applyAlignment="1">
      <alignment vertical="center" wrapText="1"/>
      <protection/>
    </xf>
    <xf numFmtId="0" fontId="33" fillId="62" borderId="37" xfId="137" applyFont="1" applyFill="1" applyBorder="1" applyAlignment="1">
      <alignment vertical="center" wrapText="1"/>
      <protection/>
    </xf>
    <xf numFmtId="0" fontId="113" fillId="62" borderId="37" xfId="126" applyFont="1" applyFill="1" applyBorder="1" applyAlignment="1">
      <alignment vertical="center"/>
      <protection/>
    </xf>
    <xf numFmtId="0" fontId="113" fillId="62" borderId="37" xfId="126" applyFont="1" applyFill="1" applyBorder="1" applyAlignment="1">
      <alignment vertical="center"/>
      <protection/>
    </xf>
    <xf numFmtId="0" fontId="113" fillId="62" borderId="38" xfId="126" applyFont="1" applyFill="1" applyBorder="1" applyAlignment="1">
      <alignment horizontal="center" vertical="center"/>
      <protection/>
    </xf>
    <xf numFmtId="0" fontId="113" fillId="62" borderId="36" xfId="126" applyFont="1" applyFill="1" applyBorder="1" applyAlignment="1">
      <alignment vertical="center"/>
      <protection/>
    </xf>
    <xf numFmtId="0" fontId="113" fillId="62" borderId="40" xfId="126" applyFont="1" applyFill="1" applyBorder="1" applyAlignment="1">
      <alignment vertical="center"/>
      <protection/>
    </xf>
    <xf numFmtId="0" fontId="112" fillId="62" borderId="35" xfId="126" applyFont="1" applyFill="1" applyBorder="1" applyAlignment="1">
      <alignment vertical="center"/>
      <protection/>
    </xf>
    <xf numFmtId="0" fontId="114" fillId="62" borderId="39" xfId="126" applyFont="1" applyFill="1" applyBorder="1" applyAlignment="1">
      <alignment vertical="center"/>
      <protection/>
    </xf>
    <xf numFmtId="0" fontId="114" fillId="62" borderId="36" xfId="126" applyFont="1" applyFill="1" applyBorder="1" applyAlignment="1">
      <alignment vertical="center"/>
      <protection/>
    </xf>
    <xf numFmtId="0" fontId="114" fillId="62" borderId="37" xfId="126" applyFont="1" applyFill="1" applyBorder="1" applyAlignment="1">
      <alignment vertical="center"/>
      <protection/>
    </xf>
    <xf numFmtId="0" fontId="114" fillId="62" borderId="38" xfId="126" applyFont="1" applyFill="1" applyBorder="1" applyAlignment="1">
      <alignment vertical="center"/>
      <protection/>
    </xf>
    <xf numFmtId="0" fontId="31" fillId="62" borderId="41" xfId="138" applyFont="1" applyFill="1" applyBorder="1" applyAlignment="1">
      <alignment horizontal="center" vertical="center"/>
      <protection/>
    </xf>
    <xf numFmtId="0" fontId="33" fillId="62" borderId="39" xfId="140" applyFont="1" applyFill="1" applyBorder="1" applyAlignment="1">
      <alignment horizontal="right" wrapText="1"/>
      <protection/>
    </xf>
    <xf numFmtId="0" fontId="33" fillId="62" borderId="37" xfId="140" applyFont="1" applyFill="1" applyBorder="1" applyAlignment="1">
      <alignment horizontal="right" wrapText="1"/>
      <protection/>
    </xf>
    <xf numFmtId="0" fontId="33" fillId="62" borderId="38" xfId="138" applyFont="1" applyFill="1" applyBorder="1" applyAlignment="1">
      <alignment horizontal="center"/>
      <protection/>
    </xf>
    <xf numFmtId="0" fontId="33" fillId="62" borderId="38" xfId="140" applyFont="1" applyFill="1" applyBorder="1" applyAlignment="1">
      <alignment horizontal="right" wrapText="1"/>
      <protection/>
    </xf>
    <xf numFmtId="182" fontId="39" fillId="62" borderId="35" xfId="69" applyNumberFormat="1" applyFont="1" applyFill="1" applyBorder="1" applyAlignment="1">
      <alignment/>
    </xf>
    <xf numFmtId="182" fontId="72" fillId="0" borderId="39" xfId="69" applyNumberFormat="1" applyFont="1" applyBorder="1" applyAlignment="1">
      <alignment/>
    </xf>
    <xf numFmtId="182" fontId="72" fillId="62" borderId="39" xfId="69" applyNumberFormat="1" applyFont="1" applyFill="1" applyBorder="1" applyAlignment="1">
      <alignment/>
    </xf>
    <xf numFmtId="182" fontId="72" fillId="0" borderId="36" xfId="69" applyNumberFormat="1" applyFont="1" applyBorder="1" applyAlignment="1">
      <alignment/>
    </xf>
    <xf numFmtId="182" fontId="72" fillId="62" borderId="36" xfId="69" applyNumberFormat="1" applyFont="1" applyFill="1" applyBorder="1" applyAlignment="1">
      <alignment/>
    </xf>
    <xf numFmtId="182" fontId="72" fillId="0" borderId="37" xfId="69" applyNumberFormat="1" applyFont="1" applyBorder="1" applyAlignment="1">
      <alignment/>
    </xf>
    <xf numFmtId="182" fontId="72" fillId="62" borderId="37" xfId="69" applyNumberFormat="1" applyFont="1" applyFill="1" applyBorder="1" applyAlignment="1">
      <alignment/>
    </xf>
    <xf numFmtId="182" fontId="34" fillId="62" borderId="37" xfId="69" applyNumberFormat="1" applyFont="1" applyFill="1" applyBorder="1" applyAlignment="1">
      <alignment horizontal="right" wrapText="1"/>
    </xf>
    <xf numFmtId="182" fontId="72" fillId="0" borderId="38" xfId="69" applyNumberFormat="1" applyFont="1" applyBorder="1" applyAlignment="1">
      <alignment/>
    </xf>
    <xf numFmtId="182" fontId="72" fillId="62" borderId="38" xfId="69" applyNumberFormat="1" applyFont="1" applyFill="1" applyBorder="1" applyAlignment="1">
      <alignment/>
    </xf>
    <xf numFmtId="0" fontId="71" fillId="0" borderId="0" xfId="148" applyFont="1" applyAlignment="1">
      <alignment wrapText="1"/>
      <protection/>
    </xf>
    <xf numFmtId="0" fontId="39" fillId="58" borderId="0" xfId="136" applyFont="1" applyFill="1" applyBorder="1" applyAlignment="1" applyProtection="1">
      <alignment horizontal="left"/>
      <protection/>
    </xf>
    <xf numFmtId="0" fontId="2" fillId="58" borderId="0" xfId="136" applyFont="1" applyFill="1" applyBorder="1" applyProtection="1">
      <alignment/>
      <protection/>
    </xf>
    <xf numFmtId="0" fontId="2" fillId="0" borderId="0" xfId="0" applyFont="1" applyAlignment="1">
      <alignment/>
    </xf>
    <xf numFmtId="0" fontId="74" fillId="58" borderId="0" xfId="136" applyFont="1" applyFill="1" applyBorder="1" applyProtection="1">
      <alignment/>
      <protection/>
    </xf>
    <xf numFmtId="0" fontId="2" fillId="0" borderId="0" xfId="0" applyFont="1" applyBorder="1"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39" fillId="58" borderId="0" xfId="136" applyFont="1" applyFill="1" applyBorder="1" applyProtection="1">
      <alignment/>
      <protection/>
    </xf>
    <xf numFmtId="0" fontId="39" fillId="58" borderId="0" xfId="136" applyFont="1" applyFill="1" applyBorder="1" applyAlignment="1" applyProtection="1">
      <alignment horizontal="center"/>
      <protection/>
    </xf>
    <xf numFmtId="0" fontId="39" fillId="0" borderId="0" xfId="0" applyFont="1" applyBorder="1" applyAlignment="1">
      <alignment/>
    </xf>
    <xf numFmtId="182" fontId="2" fillId="0" borderId="0" xfId="69" applyNumberFormat="1" applyFont="1" applyAlignment="1">
      <alignment/>
    </xf>
    <xf numFmtId="0" fontId="39" fillId="63" borderId="0" xfId="136" applyFont="1" applyFill="1" applyBorder="1" applyAlignment="1" applyProtection="1">
      <alignment horizontal="right"/>
      <protection/>
    </xf>
    <xf numFmtId="0" fontId="39" fillId="64" borderId="0" xfId="136" applyFont="1" applyFill="1" applyBorder="1" applyAlignment="1" applyProtection="1">
      <alignment horizontal="right"/>
      <protection/>
    </xf>
    <xf numFmtId="0" fontId="39" fillId="65" borderId="0" xfId="0" applyFont="1" applyFill="1" applyAlignment="1">
      <alignment/>
    </xf>
    <xf numFmtId="0" fontId="2" fillId="0" borderId="0" xfId="0" applyFont="1" applyAlignment="1">
      <alignment horizontal="left" vertical="top" wrapText="1" indent="1"/>
    </xf>
    <xf numFmtId="0" fontId="113" fillId="0" borderId="0" xfId="130" applyFont="1" applyAlignment="1">
      <alignment vertical="center"/>
      <protection/>
    </xf>
    <xf numFmtId="0" fontId="2" fillId="0" borderId="0" xfId="0" applyFont="1" applyAlignment="1">
      <alignment vertical="center"/>
    </xf>
    <xf numFmtId="1" fontId="113" fillId="0" borderId="0" xfId="130" applyNumberFormat="1" applyFont="1" applyAlignment="1">
      <alignment vertical="center"/>
      <protection/>
    </xf>
    <xf numFmtId="0" fontId="113" fillId="0" borderId="0" xfId="130" applyFont="1" applyAlignment="1" quotePrefix="1">
      <alignment vertical="center"/>
      <protection/>
    </xf>
    <xf numFmtId="0" fontId="113" fillId="0" borderId="0" xfId="125" applyFont="1" applyAlignment="1">
      <alignment horizontal="left"/>
      <protection/>
    </xf>
    <xf numFmtId="0" fontId="113" fillId="0" borderId="0" xfId="125" applyNumberFormat="1" applyFont="1">
      <alignment/>
      <protection/>
    </xf>
    <xf numFmtId="2" fontId="2" fillId="0" borderId="0" xfId="0" applyNumberFormat="1" applyFont="1" applyAlignment="1">
      <alignment/>
    </xf>
    <xf numFmtId="0" fontId="2" fillId="0" borderId="0" xfId="0" applyFont="1" applyAlignment="1">
      <alignment horizontal="left" indent="1"/>
    </xf>
    <xf numFmtId="183" fontId="2" fillId="0" borderId="0" xfId="0" applyNumberFormat="1" applyFont="1" applyAlignment="1">
      <alignment/>
    </xf>
    <xf numFmtId="0" fontId="2" fillId="0" borderId="0" xfId="0" applyFont="1" applyAlignment="1">
      <alignment horizontal="left" wrapText="1" indent="1"/>
    </xf>
    <xf numFmtId="0" fontId="39" fillId="0" borderId="0" xfId="0" applyFont="1" applyAlignment="1">
      <alignment/>
    </xf>
    <xf numFmtId="0" fontId="62" fillId="60" borderId="27" xfId="136" applyFont="1" applyFill="1" applyBorder="1" applyProtection="1">
      <alignment/>
      <protection locked="0"/>
    </xf>
    <xf numFmtId="0" fontId="62" fillId="60" borderId="28" xfId="136" applyFont="1" applyFill="1" applyBorder="1" applyAlignment="1" applyProtection="1">
      <alignment horizontal="left"/>
      <protection locked="0"/>
    </xf>
    <xf numFmtId="0" fontId="62" fillId="60" borderId="28" xfId="136" applyFont="1" applyFill="1" applyBorder="1" applyProtection="1">
      <alignment/>
      <protection locked="0"/>
    </xf>
    <xf numFmtId="0" fontId="63" fillId="60" borderId="23" xfId="136" applyFont="1" applyFill="1" applyBorder="1" applyProtection="1">
      <alignment/>
      <protection locked="0"/>
    </xf>
    <xf numFmtId="0" fontId="62" fillId="60" borderId="0" xfId="136" applyFont="1" applyFill="1" applyBorder="1" applyAlignment="1" applyProtection="1">
      <alignment horizontal="left"/>
      <protection locked="0"/>
    </xf>
    <xf numFmtId="0" fontId="62" fillId="60" borderId="0" xfId="0" applyFont="1" applyFill="1" applyAlignment="1">
      <alignment horizontal="left"/>
    </xf>
    <xf numFmtId="0" fontId="62" fillId="60" borderId="24" xfId="136" applyFont="1" applyFill="1" applyBorder="1" applyProtection="1">
      <alignment/>
      <protection locked="0"/>
    </xf>
    <xf numFmtId="0" fontId="62" fillId="60" borderId="25" xfId="136" applyFont="1" applyFill="1" applyBorder="1" applyAlignment="1" applyProtection="1">
      <alignment horizontal="left"/>
      <protection locked="0"/>
    </xf>
    <xf numFmtId="0" fontId="62" fillId="60" borderId="25" xfId="136" applyFont="1" applyFill="1" applyBorder="1" applyProtection="1">
      <alignment/>
      <protection locked="0"/>
    </xf>
    <xf numFmtId="179" fontId="62" fillId="60" borderId="25" xfId="136" applyNumberFormat="1" applyFont="1" applyFill="1" applyBorder="1" applyProtection="1">
      <alignment/>
      <protection locked="0"/>
    </xf>
    <xf numFmtId="179" fontId="62" fillId="60" borderId="34" xfId="136" applyNumberFormat="1" applyFont="1" applyFill="1" applyBorder="1" applyAlignment="1" applyProtection="1">
      <alignment horizontal="right"/>
      <protection locked="0"/>
    </xf>
    <xf numFmtId="179" fontId="62" fillId="60" borderId="0" xfId="136" applyNumberFormat="1" applyFont="1" applyFill="1" applyBorder="1" applyAlignment="1" applyProtection="1">
      <alignment horizontal="left"/>
      <protection locked="0"/>
    </xf>
    <xf numFmtId="179" fontId="62" fillId="60" borderId="11" xfId="136" applyNumberFormat="1" applyFont="1" applyFill="1" applyBorder="1" applyAlignment="1" applyProtection="1">
      <alignment horizontal="center"/>
      <protection locked="0"/>
    </xf>
    <xf numFmtId="179" fontId="63" fillId="60" borderId="0" xfId="0" applyNumberFormat="1" applyFont="1" applyFill="1" applyBorder="1" applyAlignment="1">
      <alignment/>
    </xf>
    <xf numFmtId="179" fontId="63" fillId="60" borderId="11" xfId="0" applyNumberFormat="1" applyFont="1" applyFill="1" applyBorder="1" applyAlignment="1">
      <alignment/>
    </xf>
    <xf numFmtId="179" fontId="63" fillId="60" borderId="33" xfId="0" applyNumberFormat="1" applyFont="1" applyFill="1" applyBorder="1" applyAlignment="1">
      <alignment/>
    </xf>
    <xf numFmtId="179" fontId="63" fillId="0" borderId="28" xfId="0" applyNumberFormat="1" applyFont="1" applyBorder="1" applyAlignment="1">
      <alignment horizontal="center"/>
    </xf>
    <xf numFmtId="179" fontId="63" fillId="66" borderId="0" xfId="136" applyNumberFormat="1" applyFont="1" applyFill="1" applyBorder="1" applyProtection="1">
      <alignment/>
      <protection locked="0"/>
    </xf>
    <xf numFmtId="179" fontId="63" fillId="66" borderId="11" xfId="136" applyNumberFormat="1" applyFont="1" applyFill="1" applyBorder="1" applyProtection="1">
      <alignment/>
      <protection locked="0"/>
    </xf>
    <xf numFmtId="0" fontId="2" fillId="0" borderId="0" xfId="0" applyFont="1" applyBorder="1" applyAlignment="1">
      <alignment horizontal="left"/>
    </xf>
    <xf numFmtId="0" fontId="39" fillId="0" borderId="0" xfId="0" applyFont="1" applyFill="1" applyBorder="1" applyAlignment="1">
      <alignment horizontal="left" vertical="top"/>
    </xf>
    <xf numFmtId="1" fontId="39" fillId="0" borderId="0" xfId="0" applyNumberFormat="1" applyFont="1" applyFill="1" applyBorder="1" applyAlignment="1">
      <alignment horizontal="left" vertical="top"/>
    </xf>
    <xf numFmtId="182" fontId="2" fillId="0" borderId="0" xfId="129" applyNumberFormat="1">
      <alignment/>
      <protection/>
    </xf>
    <xf numFmtId="182" fontId="72" fillId="64" borderId="36" xfId="69" applyNumberFormat="1" applyFont="1" applyFill="1" applyBorder="1" applyAlignment="1">
      <alignment/>
    </xf>
    <xf numFmtId="182" fontId="72" fillId="64" borderId="37" xfId="69" applyNumberFormat="1" applyFont="1" applyFill="1" applyBorder="1" applyAlignment="1">
      <alignment/>
    </xf>
    <xf numFmtId="0" fontId="114" fillId="64" borderId="36" xfId="126" applyFont="1" applyFill="1" applyBorder="1" applyAlignment="1">
      <alignment vertical="center"/>
      <protection/>
    </xf>
    <xf numFmtId="0" fontId="114" fillId="64" borderId="37" xfId="126" applyFont="1" applyFill="1" applyBorder="1" applyAlignment="1">
      <alignment vertical="center"/>
      <protection/>
    </xf>
    <xf numFmtId="9" fontId="2" fillId="0" borderId="0" xfId="149" applyFont="1" applyAlignment="1">
      <alignment/>
    </xf>
    <xf numFmtId="0" fontId="2" fillId="0" borderId="0" xfId="0" applyFont="1" applyBorder="1" applyAlignment="1">
      <alignment horizontal="left" wrapText="1" indent="1"/>
    </xf>
    <xf numFmtId="3" fontId="2" fillId="0" borderId="0" xfId="0" applyNumberFormat="1" applyFont="1" applyBorder="1" applyAlignment="1">
      <alignment horizontal="left" wrapText="1" indent="1"/>
    </xf>
    <xf numFmtId="0" fontId="39" fillId="67" borderId="0" xfId="0" applyFont="1" applyFill="1" applyAlignment="1">
      <alignment/>
    </xf>
    <xf numFmtId="0" fontId="72" fillId="0" borderId="0" xfId="0" applyFont="1" applyAlignment="1">
      <alignment/>
    </xf>
    <xf numFmtId="0" fontId="74" fillId="0" borderId="0" xfId="0" applyFont="1" applyAlignment="1">
      <alignment/>
    </xf>
    <xf numFmtId="182" fontId="72" fillId="0" borderId="0" xfId="0" applyNumberFormat="1" applyFont="1" applyAlignment="1">
      <alignment/>
    </xf>
    <xf numFmtId="0" fontId="2" fillId="68" borderId="0" xfId="0" applyFont="1" applyFill="1" applyAlignment="1">
      <alignment vertical="center"/>
    </xf>
    <xf numFmtId="0" fontId="2" fillId="68" borderId="23" xfId="0" applyFont="1" applyFill="1" applyBorder="1" applyAlignment="1">
      <alignment vertical="center"/>
    </xf>
    <xf numFmtId="0" fontId="2" fillId="68" borderId="0" xfId="0" applyFont="1" applyFill="1" applyBorder="1" applyAlignment="1">
      <alignment vertical="center"/>
    </xf>
    <xf numFmtId="0" fontId="39" fillId="0" borderId="0" xfId="0" applyFont="1" applyAlignment="1">
      <alignment horizontal="center" vertical="center" wrapText="1"/>
    </xf>
    <xf numFmtId="0" fontId="39" fillId="61"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39" fillId="0" borderId="0" xfId="0" applyFont="1" applyAlignment="1">
      <alignment horizontal="left" wrapText="1" indent="1"/>
    </xf>
    <xf numFmtId="182" fontId="74" fillId="0" borderId="0" xfId="69" applyNumberFormat="1" applyFont="1" applyAlignment="1">
      <alignment/>
    </xf>
    <xf numFmtId="0" fontId="72" fillId="65" borderId="0" xfId="0" applyFont="1" applyFill="1" applyAlignment="1">
      <alignment/>
    </xf>
    <xf numFmtId="0" fontId="72" fillId="0" borderId="0" xfId="0" applyFont="1" applyFill="1" applyAlignment="1">
      <alignment horizontal="left" wrapText="1" indent="1"/>
    </xf>
    <xf numFmtId="0" fontId="74" fillId="0" borderId="0" xfId="0" applyFont="1" applyFill="1" applyAlignment="1">
      <alignment/>
    </xf>
    <xf numFmtId="182" fontId="72" fillId="0" borderId="0" xfId="69" applyNumberFormat="1" applyFont="1" applyFill="1" applyAlignment="1">
      <alignment/>
    </xf>
    <xf numFmtId="182" fontId="72" fillId="0" borderId="0" xfId="69" applyNumberFormat="1" applyFont="1" applyAlignment="1">
      <alignment/>
    </xf>
    <xf numFmtId="0" fontId="39" fillId="0" borderId="0" xfId="0" applyFont="1" applyAlignment="1">
      <alignment horizontal="left" vertical="center"/>
    </xf>
    <xf numFmtId="0" fontId="2" fillId="0" borderId="0" xfId="0" applyFont="1" applyAlignment="1">
      <alignment horizontal="left" vertical="center"/>
    </xf>
    <xf numFmtId="1" fontId="2" fillId="0" borderId="0" xfId="0" applyNumberFormat="1" applyFont="1" applyBorder="1" applyAlignment="1">
      <alignment horizontal="right"/>
    </xf>
    <xf numFmtId="0" fontId="39" fillId="58" borderId="0" xfId="136" applyFont="1" applyFill="1" applyBorder="1" applyAlignment="1" applyProtection="1">
      <alignment horizontal="right"/>
      <protection/>
    </xf>
    <xf numFmtId="0" fontId="39" fillId="65" borderId="0" xfId="0" applyFont="1" applyFill="1" applyAlignment="1">
      <alignment horizontal="right"/>
    </xf>
    <xf numFmtId="0" fontId="39" fillId="67" borderId="0" xfId="0" applyFont="1" applyFill="1" applyAlignment="1">
      <alignment horizontal="right"/>
    </xf>
    <xf numFmtId="0" fontId="2" fillId="0" borderId="0" xfId="0" applyFont="1" applyAlignment="1">
      <alignment horizontal="right"/>
    </xf>
    <xf numFmtId="182" fontId="2" fillId="0" borderId="0" xfId="69" applyNumberFormat="1" applyFont="1" applyAlignment="1">
      <alignment horizontal="right"/>
    </xf>
    <xf numFmtId="182" fontId="2" fillId="0" borderId="0" xfId="0" applyNumberFormat="1" applyFont="1" applyAlignment="1">
      <alignment horizontal="right"/>
    </xf>
    <xf numFmtId="0" fontId="2" fillId="0" borderId="0" xfId="0" applyFont="1" applyAlignment="1">
      <alignment horizontal="right" vertical="center"/>
    </xf>
    <xf numFmtId="0" fontId="39" fillId="0" borderId="0" xfId="0" applyFont="1" applyAlignment="1">
      <alignment horizontal="right"/>
    </xf>
    <xf numFmtId="0" fontId="2" fillId="68" borderId="0" xfId="0" applyFont="1" applyFill="1" applyAlignment="1">
      <alignment horizontal="right" vertical="center"/>
    </xf>
    <xf numFmtId="0" fontId="2" fillId="68" borderId="23" xfId="0" applyFont="1" applyFill="1" applyBorder="1" applyAlignment="1">
      <alignment horizontal="right" vertical="center"/>
    </xf>
    <xf numFmtId="0" fontId="2" fillId="68" borderId="0" xfId="0" applyFont="1" applyFill="1" applyBorder="1" applyAlignment="1">
      <alignment horizontal="right" vertical="center"/>
    </xf>
    <xf numFmtId="0" fontId="39" fillId="65" borderId="0" xfId="0" applyFont="1" applyFill="1" applyAlignment="1">
      <alignment horizontal="left"/>
    </xf>
    <xf numFmtId="0" fontId="39" fillId="67" borderId="0" xfId="0" applyFont="1" applyFill="1" applyAlignment="1">
      <alignment horizontal="left"/>
    </xf>
    <xf numFmtId="0" fontId="39" fillId="0" borderId="0" xfId="0" applyFont="1" applyAlignment="1">
      <alignment horizontal="left"/>
    </xf>
    <xf numFmtId="0" fontId="2" fillId="0" borderId="0" xfId="0" applyFont="1" applyAlignment="1">
      <alignment horizontal="left"/>
    </xf>
    <xf numFmtId="0" fontId="39" fillId="0" borderId="0" xfId="0" applyFont="1" applyBorder="1" applyAlignment="1">
      <alignment horizontal="left"/>
    </xf>
    <xf numFmtId="182" fontId="2" fillId="61" borderId="42" xfId="69" applyNumberFormat="1" applyFont="1" applyFill="1" applyBorder="1" applyAlignment="1">
      <alignment/>
    </xf>
    <xf numFmtId="0" fontId="39" fillId="65" borderId="0" xfId="0" applyFont="1" applyFill="1" applyAlignment="1">
      <alignment horizontal="right" vertical="center"/>
    </xf>
    <xf numFmtId="0" fontId="39" fillId="67" borderId="0" xfId="0" applyFont="1" applyFill="1" applyAlignment="1">
      <alignment horizontal="right" vertical="center"/>
    </xf>
    <xf numFmtId="182" fontId="2" fillId="0" borderId="0" xfId="69" applyNumberFormat="1" applyFont="1" applyAlignment="1">
      <alignment horizontal="right" vertical="center"/>
    </xf>
    <xf numFmtId="182" fontId="2" fillId="0" borderId="0" xfId="69" applyNumberFormat="1" applyFont="1" applyFill="1" applyAlignment="1">
      <alignment horizontal="right" vertical="center"/>
    </xf>
    <xf numFmtId="182" fontId="2" fillId="0" borderId="0" xfId="0" applyNumberFormat="1" applyFont="1" applyAlignment="1">
      <alignment horizontal="right" vertical="center"/>
    </xf>
    <xf numFmtId="9" fontId="2" fillId="0" borderId="0" xfId="149" applyFont="1" applyAlignment="1">
      <alignment horizontal="right" vertical="center"/>
    </xf>
    <xf numFmtId="182" fontId="2" fillId="0" borderId="0" xfId="0" applyNumberFormat="1" applyFont="1" applyFill="1" applyAlignment="1">
      <alignment horizontal="right" vertical="center"/>
    </xf>
    <xf numFmtId="182" fontId="2" fillId="62" borderId="0" xfId="0" applyNumberFormat="1" applyFont="1" applyFill="1" applyAlignment="1">
      <alignment horizontal="right" vertical="center"/>
    </xf>
    <xf numFmtId="0" fontId="39" fillId="0" borderId="0" xfId="0" applyFont="1" applyAlignment="1">
      <alignment horizontal="right" vertical="center"/>
    </xf>
    <xf numFmtId="182" fontId="39" fillId="0" borderId="0" xfId="0" applyNumberFormat="1" applyFont="1" applyAlignment="1">
      <alignment horizontal="right" vertical="center"/>
    </xf>
    <xf numFmtId="0" fontId="39" fillId="0" borderId="0" xfId="0" applyFont="1" applyFill="1" applyBorder="1" applyAlignment="1">
      <alignment horizontal="right" vertical="center"/>
    </xf>
    <xf numFmtId="182" fontId="39" fillId="0" borderId="0" xfId="69" applyNumberFormat="1"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xf>
    <xf numFmtId="0" fontId="2" fillId="62" borderId="0" xfId="0" applyFont="1" applyFill="1" applyBorder="1" applyAlignment="1">
      <alignment horizontal="right" vertical="center"/>
    </xf>
    <xf numFmtId="9" fontId="2" fillId="0" borderId="0" xfId="0" applyNumberFormat="1" applyFont="1" applyAlignment="1">
      <alignment horizontal="right" vertical="center"/>
    </xf>
    <xf numFmtId="0" fontId="2" fillId="62" borderId="0" xfId="0" applyFont="1" applyFill="1" applyAlignment="1">
      <alignment horizontal="right" vertical="center"/>
    </xf>
    <xf numFmtId="0" fontId="2" fillId="0" borderId="0" xfId="0" applyNumberFormat="1" applyFont="1" applyAlignment="1">
      <alignment horizontal="right" vertical="center"/>
    </xf>
    <xf numFmtId="0" fontId="2" fillId="62" borderId="0" xfId="0" applyNumberFormat="1" applyFont="1" applyFill="1" applyAlignment="1">
      <alignment horizontal="right" vertical="center"/>
    </xf>
    <xf numFmtId="0" fontId="39" fillId="65" borderId="0" xfId="0" applyFont="1" applyFill="1" applyAlignment="1">
      <alignment vertical="center"/>
    </xf>
    <xf numFmtId="0" fontId="39" fillId="67" borderId="0" xfId="0" applyFont="1" applyFill="1" applyAlignment="1">
      <alignment vertical="center"/>
    </xf>
    <xf numFmtId="182" fontId="2" fillId="0" borderId="0" xfId="0" applyNumberFormat="1" applyFont="1" applyAlignment="1">
      <alignment vertical="center"/>
    </xf>
    <xf numFmtId="0" fontId="0" fillId="0" borderId="0" xfId="0" applyAlignment="1">
      <alignment vertical="center"/>
    </xf>
    <xf numFmtId="9" fontId="2" fillId="0" borderId="0" xfId="149" applyFont="1" applyAlignment="1">
      <alignment vertical="center"/>
    </xf>
    <xf numFmtId="182" fontId="2" fillId="0" borderId="0" xfId="0" applyNumberFormat="1" applyFont="1" applyFill="1" applyAlignment="1">
      <alignment vertical="center"/>
    </xf>
    <xf numFmtId="182" fontId="2" fillId="62" borderId="0" xfId="0" applyNumberFormat="1" applyFont="1" applyFill="1" applyAlignment="1">
      <alignment vertical="center"/>
    </xf>
    <xf numFmtId="0" fontId="39" fillId="0" borderId="0" xfId="0" applyFont="1" applyAlignment="1">
      <alignment vertical="center"/>
    </xf>
    <xf numFmtId="1" fontId="39" fillId="0" borderId="0" xfId="0" applyNumberFormat="1" applyFont="1" applyFill="1" applyBorder="1" applyAlignment="1">
      <alignment vertical="center"/>
    </xf>
    <xf numFmtId="10" fontId="76" fillId="0" borderId="0" xfId="149" applyNumberFormat="1" applyFont="1" applyFill="1" applyBorder="1" applyAlignment="1">
      <alignment vertical="center" wrapText="1"/>
    </xf>
    <xf numFmtId="0" fontId="39" fillId="0" borderId="0" xfId="0" applyFont="1" applyFill="1" applyBorder="1" applyAlignment="1">
      <alignment vertical="center"/>
    </xf>
    <xf numFmtId="182" fontId="39" fillId="0" borderId="0" xfId="69" applyNumberFormat="1" applyFont="1" applyFill="1" applyBorder="1" applyAlignment="1" applyProtection="1">
      <alignment vertical="center"/>
      <protection/>
    </xf>
    <xf numFmtId="1" fontId="2" fillId="0" borderId="0" xfId="0" applyNumberFormat="1" applyFont="1" applyBorder="1" applyAlignment="1">
      <alignment vertical="center"/>
    </xf>
    <xf numFmtId="0" fontId="2" fillId="0" borderId="0" xfId="0" applyFont="1" applyBorder="1" applyAlignment="1">
      <alignment vertical="center"/>
    </xf>
    <xf numFmtId="9" fontId="2" fillId="0" borderId="0" xfId="0" applyNumberFormat="1" applyFont="1" applyAlignment="1">
      <alignment vertical="center"/>
    </xf>
    <xf numFmtId="0" fontId="2" fillId="62" borderId="0" xfId="0" applyFont="1" applyFill="1" applyAlignment="1">
      <alignment vertical="center"/>
    </xf>
    <xf numFmtId="0" fontId="2" fillId="0" borderId="0" xfId="0" applyNumberFormat="1" applyFont="1" applyAlignment="1">
      <alignment vertical="center"/>
    </xf>
    <xf numFmtId="0" fontId="2" fillId="62" borderId="0" xfId="0" applyNumberFormat="1" applyFont="1" applyFill="1" applyAlignment="1">
      <alignment vertical="center"/>
    </xf>
    <xf numFmtId="0" fontId="73" fillId="58" borderId="0" xfId="136" applyFont="1" applyFill="1" applyBorder="1" applyAlignment="1" applyProtection="1">
      <alignment horizontal="right" vertical="center"/>
      <protection/>
    </xf>
    <xf numFmtId="0" fontId="2" fillId="58" borderId="0" xfId="136" applyFont="1" applyFill="1" applyBorder="1" applyAlignment="1" applyProtection="1">
      <alignment horizontal="right" vertical="center"/>
      <protection/>
    </xf>
    <xf numFmtId="0" fontId="75" fillId="58" borderId="0" xfId="136"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wrapText="1"/>
    </xf>
    <xf numFmtId="0" fontId="113" fillId="0" borderId="0" xfId="126" applyFont="1" applyBorder="1" applyAlignment="1">
      <alignment vertical="center"/>
      <protection/>
    </xf>
    <xf numFmtId="0" fontId="114" fillId="0" borderId="0" xfId="126" applyFont="1" applyBorder="1" applyAlignment="1">
      <alignment vertical="center"/>
      <protection/>
    </xf>
    <xf numFmtId="0" fontId="114" fillId="0" borderId="0" xfId="126" applyFont="1" applyBorder="1" applyAlignment="1">
      <alignment vertical="center"/>
      <protection/>
    </xf>
    <xf numFmtId="0" fontId="114" fillId="0" borderId="0" xfId="126" applyFont="1" applyBorder="1" applyAlignment="1">
      <alignment horizontal="center" vertical="center"/>
      <protection/>
    </xf>
    <xf numFmtId="0" fontId="114" fillId="62" borderId="0" xfId="126" applyFont="1" applyFill="1" applyBorder="1" applyAlignment="1">
      <alignment vertical="center"/>
      <protection/>
    </xf>
    <xf numFmtId="0" fontId="93" fillId="0" borderId="0" xfId="126" applyFont="1">
      <alignment/>
      <protection/>
    </xf>
    <xf numFmtId="0" fontId="114" fillId="0" borderId="37" xfId="126" applyFont="1" applyBorder="1" applyAlignment="1">
      <alignment horizontal="right" vertical="center"/>
      <protection/>
    </xf>
    <xf numFmtId="0" fontId="114" fillId="64" borderId="37" xfId="126" applyFont="1" applyFill="1" applyBorder="1" applyAlignment="1">
      <alignment horizontal="right" vertical="center"/>
      <protection/>
    </xf>
    <xf numFmtId="0" fontId="114" fillId="0" borderId="38" xfId="126" applyFont="1" applyBorder="1" applyAlignment="1">
      <alignment horizontal="right" vertical="center"/>
      <protection/>
    </xf>
    <xf numFmtId="0" fontId="0" fillId="0" borderId="0" xfId="0" applyFont="1" applyAlignment="1">
      <alignment/>
    </xf>
    <xf numFmtId="0" fontId="0" fillId="0" borderId="35" xfId="0" applyBorder="1" applyAlignment="1">
      <alignment/>
    </xf>
    <xf numFmtId="0" fontId="0" fillId="0" borderId="35" xfId="0" applyFont="1" applyBorder="1" applyAlignment="1">
      <alignment/>
    </xf>
    <xf numFmtId="10" fontId="39" fillId="0" borderId="0" xfId="149" applyNumberFormat="1" applyFont="1" applyFill="1" applyBorder="1" applyAlignment="1">
      <alignment horizontal="center" vertical="center" wrapText="1"/>
    </xf>
    <xf numFmtId="10" fontId="39" fillId="0" borderId="0" xfId="149" applyNumberFormat="1" applyFont="1" applyFill="1" applyBorder="1" applyAlignment="1">
      <alignment vertical="center" wrapText="1"/>
    </xf>
    <xf numFmtId="0" fontId="0" fillId="0" borderId="35" xfId="0" applyFont="1" applyBorder="1" applyAlignment="1">
      <alignment horizontal="center"/>
    </xf>
    <xf numFmtId="0" fontId="114" fillId="69" borderId="37" xfId="126" applyFont="1" applyFill="1" applyBorder="1" applyAlignment="1">
      <alignment vertical="center"/>
      <protection/>
    </xf>
    <xf numFmtId="182" fontId="72" fillId="69" borderId="36" xfId="69" applyNumberFormat="1" applyFont="1" applyFill="1" applyBorder="1" applyAlignment="1">
      <alignment/>
    </xf>
    <xf numFmtId="182" fontId="39" fillId="0" borderId="35" xfId="69" applyNumberFormat="1" applyFont="1" applyBorder="1" applyAlignment="1">
      <alignment/>
    </xf>
    <xf numFmtId="182" fontId="2" fillId="0" borderId="0" xfId="71" applyNumberFormat="1" applyFont="1" applyFill="1" applyAlignment="1">
      <alignment vertical="center"/>
    </xf>
    <xf numFmtId="10" fontId="78" fillId="0" borderId="0" xfId="0" applyNumberFormat="1" applyFont="1" applyAlignment="1">
      <alignment/>
    </xf>
    <xf numFmtId="0" fontId="78" fillId="0" borderId="0" xfId="0" applyFont="1" applyAlignment="1">
      <alignment/>
    </xf>
    <xf numFmtId="179" fontId="78" fillId="0" borderId="0" xfId="0" applyNumberFormat="1" applyFont="1" applyAlignment="1">
      <alignment/>
    </xf>
    <xf numFmtId="184" fontId="2" fillId="0" borderId="0" xfId="149" applyNumberFormat="1" applyFont="1" applyAlignment="1">
      <alignment/>
    </xf>
    <xf numFmtId="10" fontId="2" fillId="0" borderId="0" xfId="149" applyNumberFormat="1" applyFont="1" applyAlignment="1">
      <alignment/>
    </xf>
    <xf numFmtId="0" fontId="39" fillId="0" borderId="0" xfId="0" applyFont="1" applyAlignment="1">
      <alignment horizontal="left" indent="1"/>
    </xf>
    <xf numFmtId="1" fontId="2" fillId="0" borderId="0" xfId="0" applyNumberFormat="1" applyFont="1" applyAlignment="1">
      <alignment/>
    </xf>
    <xf numFmtId="0" fontId="0" fillId="0" borderId="0" xfId="0" applyAlignment="1">
      <alignment horizontal="right"/>
    </xf>
    <xf numFmtId="0" fontId="115" fillId="0" borderId="0" xfId="0" applyFont="1" applyAlignment="1">
      <alignment horizontal="left" vertical="top" wrapText="1" indent="1"/>
    </xf>
    <xf numFmtId="9" fontId="63" fillId="0" borderId="0" xfId="149" applyFont="1" applyAlignment="1">
      <alignment/>
    </xf>
    <xf numFmtId="49" fontId="104" fillId="0" borderId="0" xfId="118" applyNumberFormat="1" applyAlignment="1">
      <alignment/>
    </xf>
    <xf numFmtId="1" fontId="0" fillId="0" borderId="0" xfId="0" applyNumberFormat="1" applyAlignment="1">
      <alignment/>
    </xf>
    <xf numFmtId="0" fontId="78" fillId="0" borderId="0" xfId="125" applyFont="1" applyFill="1" applyAlignment="1">
      <alignment horizontal="left"/>
      <protection/>
    </xf>
    <xf numFmtId="0" fontId="79" fillId="0" borderId="0" xfId="125" applyFont="1" applyFill="1" applyAlignment="1">
      <alignment horizontal="left"/>
      <protection/>
    </xf>
    <xf numFmtId="179" fontId="63" fillId="70" borderId="25" xfId="136" applyNumberFormat="1" applyFont="1" applyFill="1" applyBorder="1" applyAlignment="1" applyProtection="1">
      <alignment horizontal="right"/>
      <protection locked="0"/>
    </xf>
    <xf numFmtId="10" fontId="63" fillId="70" borderId="35" xfId="0" applyNumberFormat="1" applyFont="1" applyFill="1" applyBorder="1" applyAlignment="1">
      <alignment horizontal="center"/>
    </xf>
    <xf numFmtId="0" fontId="116" fillId="0" borderId="0" xfId="132" applyFont="1" applyFill="1" applyAlignment="1" applyProtection="1">
      <alignment/>
      <protection/>
    </xf>
    <xf numFmtId="0" fontId="98" fillId="0" borderId="0" xfId="132" applyFill="1" applyAlignment="1" applyProtection="1">
      <alignment/>
      <protection/>
    </xf>
    <xf numFmtId="0" fontId="117"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98" fillId="0" borderId="0" xfId="132" applyFill="1" applyAlignment="1" applyProtection="1">
      <alignment wrapText="1"/>
      <protection/>
    </xf>
    <xf numFmtId="0" fontId="98"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117" fillId="0" borderId="0" xfId="132" applyFont="1" applyFill="1" applyAlignment="1" applyProtection="1">
      <alignment/>
      <protection/>
    </xf>
    <xf numFmtId="9" fontId="87" fillId="70" borderId="0" xfId="149" applyFont="1" applyFill="1" applyAlignment="1" applyProtection="1">
      <alignment/>
      <protection/>
    </xf>
    <xf numFmtId="9" fontId="98" fillId="0" borderId="0" xfId="132" applyNumberFormat="1" applyFill="1" applyAlignment="1" applyProtection="1">
      <alignment/>
      <protection/>
    </xf>
    <xf numFmtId="0" fontId="117" fillId="0" borderId="0" xfId="132" applyFont="1" applyFill="1" applyAlignment="1" applyProtection="1">
      <alignment horizontal="center"/>
      <protection/>
    </xf>
    <xf numFmtId="0" fontId="116" fillId="0" borderId="0" xfId="132" applyFont="1" applyFill="1" applyAlignment="1" applyProtection="1">
      <alignment/>
      <protection/>
    </xf>
    <xf numFmtId="182" fontId="87" fillId="0" borderId="0" xfId="72" applyNumberFormat="1" applyFont="1" applyFill="1" applyAlignment="1" applyProtection="1">
      <alignment/>
      <protection/>
    </xf>
    <xf numFmtId="182" fontId="98" fillId="0" borderId="35" xfId="132" applyNumberFormat="1" applyFont="1" applyFill="1" applyBorder="1" applyAlignment="1" applyProtection="1">
      <alignment horizontal="center"/>
      <protection/>
    </xf>
    <xf numFmtId="182" fontId="98" fillId="0" borderId="35" xfId="132" applyNumberFormat="1" applyFont="1" applyFill="1" applyBorder="1" applyAlignment="1" applyProtection="1">
      <alignment/>
      <protection/>
    </xf>
    <xf numFmtId="0" fontId="118" fillId="0" borderId="0" xfId="132" applyFont="1" applyFill="1" applyAlignment="1" applyProtection="1">
      <alignment/>
      <protection/>
    </xf>
    <xf numFmtId="1" fontId="98" fillId="0" borderId="35" xfId="132" applyNumberFormat="1" applyFont="1" applyFill="1" applyBorder="1" applyAlignment="1" applyProtection="1">
      <alignment horizontal="center"/>
      <protection/>
    </xf>
    <xf numFmtId="0" fontId="117" fillId="0" borderId="35" xfId="132" applyFont="1" applyFill="1" applyBorder="1" applyAlignment="1" applyProtection="1">
      <alignment/>
      <protection/>
    </xf>
    <xf numFmtId="3" fontId="89" fillId="71" borderId="35" xfId="125" applyNumberFormat="1" applyFont="1" applyFill="1" applyBorder="1" applyAlignment="1">
      <alignment horizontal="center" vertical="center" wrapText="1"/>
      <protection/>
    </xf>
    <xf numFmtId="182" fontId="98" fillId="0" borderId="35" xfId="69" applyNumberFormat="1" applyFont="1" applyFill="1" applyBorder="1" applyAlignment="1" applyProtection="1">
      <alignment/>
      <protection/>
    </xf>
    <xf numFmtId="0" fontId="117" fillId="70" borderId="35" xfId="132" applyNumberFormat="1" applyFont="1" applyFill="1" applyBorder="1" applyAlignment="1" applyProtection="1">
      <alignment horizontal="center"/>
      <protection/>
    </xf>
    <xf numFmtId="0" fontId="117" fillId="70" borderId="35" xfId="132" applyFont="1" applyFill="1" applyBorder="1" applyAlignment="1" applyProtection="1">
      <alignment horizontal="center"/>
      <protection/>
    </xf>
    <xf numFmtId="0" fontId="31" fillId="70" borderId="35" xfId="138" applyFont="1" applyFill="1" applyBorder="1" applyAlignment="1">
      <alignment horizontal="center" vertical="center"/>
      <protection/>
    </xf>
    <xf numFmtId="0" fontId="33" fillId="70" borderId="39" xfId="140" applyFont="1" applyFill="1" applyBorder="1" applyAlignment="1">
      <alignment horizontal="right" wrapText="1"/>
      <protection/>
    </xf>
    <xf numFmtId="0" fontId="33" fillId="70" borderId="37" xfId="140" applyFont="1" applyFill="1" applyBorder="1" applyAlignment="1">
      <alignment horizontal="right" wrapText="1"/>
      <protection/>
    </xf>
    <xf numFmtId="0" fontId="33" fillId="70" borderId="38" xfId="138" applyFont="1" applyFill="1" applyBorder="1" applyAlignment="1">
      <alignment horizontal="center"/>
      <protection/>
    </xf>
    <xf numFmtId="0" fontId="33" fillId="70" borderId="38" xfId="140" applyFont="1" applyFill="1" applyBorder="1" applyAlignment="1">
      <alignment horizontal="right" wrapText="1"/>
      <protection/>
    </xf>
    <xf numFmtId="182" fontId="39" fillId="70" borderId="35" xfId="69" applyNumberFormat="1" applyFont="1" applyFill="1" applyBorder="1" applyAlignment="1">
      <alignment/>
    </xf>
    <xf numFmtId="0" fontId="39" fillId="70" borderId="35" xfId="148" applyFont="1" applyFill="1" applyBorder="1" applyAlignment="1">
      <alignment horizontal="center" vertical="center"/>
      <protection/>
    </xf>
    <xf numFmtId="0" fontId="113" fillId="70" borderId="36" xfId="126" applyFont="1" applyFill="1" applyBorder="1" applyAlignment="1">
      <alignment vertical="center"/>
      <protection/>
    </xf>
    <xf numFmtId="0" fontId="33" fillId="70" borderId="39" xfId="137" applyFont="1" applyFill="1" applyBorder="1" applyAlignment="1">
      <alignment vertical="center" wrapText="1"/>
      <protection/>
    </xf>
    <xf numFmtId="0" fontId="33" fillId="70" borderId="37" xfId="137" applyFont="1" applyFill="1" applyBorder="1" applyAlignment="1">
      <alignment vertical="center" wrapText="1"/>
      <protection/>
    </xf>
    <xf numFmtId="0" fontId="113" fillId="70" borderId="37" xfId="126" applyFont="1" applyFill="1" applyBorder="1" applyAlignment="1">
      <alignment vertical="center"/>
      <protection/>
    </xf>
    <xf numFmtId="0" fontId="113" fillId="70" borderId="37" xfId="126" applyFont="1" applyFill="1" applyBorder="1" applyAlignment="1">
      <alignment vertical="center"/>
      <protection/>
    </xf>
    <xf numFmtId="0" fontId="113" fillId="70" borderId="38" xfId="126" applyFont="1" applyFill="1" applyBorder="1" applyAlignment="1">
      <alignment horizontal="center" vertical="center"/>
      <protection/>
    </xf>
    <xf numFmtId="0" fontId="113" fillId="70" borderId="33" xfId="126" applyFont="1" applyFill="1" applyBorder="1" applyAlignment="1">
      <alignment vertical="center"/>
      <protection/>
    </xf>
    <xf numFmtId="0" fontId="113" fillId="70" borderId="40" xfId="126" applyFont="1" applyFill="1" applyBorder="1" applyAlignment="1">
      <alignment vertical="center"/>
      <protection/>
    </xf>
    <xf numFmtId="0" fontId="112" fillId="70" borderId="35" xfId="126" applyFont="1" applyFill="1" applyBorder="1" applyAlignment="1">
      <alignment vertical="center"/>
      <protection/>
    </xf>
    <xf numFmtId="0" fontId="78" fillId="0" borderId="35" xfId="0" applyFont="1" applyBorder="1" applyAlignment="1">
      <alignment/>
    </xf>
    <xf numFmtId="3" fontId="78" fillId="0" borderId="35" xfId="0" applyNumberFormat="1" applyFont="1" applyBorder="1" applyAlignment="1">
      <alignment/>
    </xf>
    <xf numFmtId="9" fontId="78" fillId="0" borderId="35" xfId="0" applyNumberFormat="1" applyFont="1" applyBorder="1" applyAlignment="1">
      <alignment/>
    </xf>
    <xf numFmtId="0" fontId="78" fillId="0" borderId="0" xfId="0" applyFont="1" applyBorder="1" applyAlignment="1">
      <alignment/>
    </xf>
    <xf numFmtId="10" fontId="78" fillId="0" borderId="35" xfId="0" applyNumberFormat="1" applyFont="1" applyBorder="1" applyAlignment="1">
      <alignment/>
    </xf>
    <xf numFmtId="179" fontId="78" fillId="0" borderId="35" xfId="0" applyNumberFormat="1" applyFont="1" applyBorder="1" applyAlignment="1">
      <alignment/>
    </xf>
    <xf numFmtId="0" fontId="77" fillId="71" borderId="35" xfId="0" applyFont="1" applyFill="1" applyBorder="1" applyAlignment="1">
      <alignment/>
    </xf>
    <xf numFmtId="0" fontId="77" fillId="71" borderId="35" xfId="0" applyFont="1" applyFill="1" applyBorder="1" applyAlignment="1">
      <alignment horizontal="center"/>
    </xf>
    <xf numFmtId="0" fontId="0" fillId="0" borderId="35" xfId="0" applyFont="1" applyBorder="1" applyAlignment="1">
      <alignment horizontal="center" vertical="center" wrapText="1"/>
    </xf>
    <xf numFmtId="0" fontId="0" fillId="0" borderId="35" xfId="0" applyBorder="1" applyAlignment="1">
      <alignment horizontal="center" vertical="center" wrapText="1"/>
    </xf>
    <xf numFmtId="0" fontId="0" fillId="70" borderId="35" xfId="0" applyFont="1" applyFill="1" applyBorder="1" applyAlignment="1">
      <alignment horizontal="center" vertical="center" wrapText="1"/>
    </xf>
    <xf numFmtId="0" fontId="0" fillId="70" borderId="35" xfId="0"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xf>
    <xf numFmtId="0" fontId="0" fillId="0" borderId="0" xfId="0" applyFill="1" applyBorder="1" applyAlignment="1">
      <alignment/>
    </xf>
    <xf numFmtId="9" fontId="0" fillId="0" borderId="0" xfId="149" applyFont="1" applyAlignment="1">
      <alignment/>
    </xf>
    <xf numFmtId="10" fontId="2" fillId="0" borderId="0" xfId="149" applyNumberFormat="1" applyFont="1" applyAlignment="1">
      <alignment horizontal="right" vertical="center"/>
    </xf>
    <xf numFmtId="183" fontId="2" fillId="0" borderId="0" xfId="0" applyNumberFormat="1" applyFont="1" applyAlignment="1">
      <alignment horizontal="right"/>
    </xf>
    <xf numFmtId="9" fontId="0" fillId="0" borderId="0" xfId="152" applyFont="1" applyFill="1" applyAlignment="1" applyProtection="1">
      <alignment/>
      <protection/>
    </xf>
    <xf numFmtId="0" fontId="98" fillId="0" borderId="0" xfId="132" applyFill="1" applyAlignment="1" applyProtection="1">
      <alignment horizontal="right" wrapText="1"/>
      <protection/>
    </xf>
    <xf numFmtId="1" fontId="98" fillId="0" borderId="0" xfId="132" applyNumberFormat="1" applyFill="1" applyAlignment="1" applyProtection="1">
      <alignment wrapText="1"/>
      <protection/>
    </xf>
    <xf numFmtId="43" fontId="0" fillId="0" borderId="0" xfId="72" applyFont="1" applyFill="1" applyAlignment="1" applyProtection="1">
      <alignment wrapText="1"/>
      <protection/>
    </xf>
    <xf numFmtId="0" fontId="98" fillId="72" borderId="0" xfId="132" applyFill="1" applyAlignment="1" applyProtection="1">
      <alignment horizontal="right"/>
      <protection/>
    </xf>
    <xf numFmtId="0" fontId="116" fillId="0" borderId="0" xfId="132" applyFont="1" applyFill="1" applyAlignment="1" applyProtection="1">
      <alignment wrapText="1"/>
      <protection/>
    </xf>
    <xf numFmtId="0" fontId="80" fillId="0" borderId="0" xfId="132" applyFont="1" applyFill="1" applyAlignment="1" applyProtection="1">
      <alignment/>
      <protection/>
    </xf>
    <xf numFmtId="0" fontId="117" fillId="70" borderId="0" xfId="132" applyFont="1" applyFill="1" applyAlignment="1" applyProtection="1">
      <alignment horizontal="center" vertical="center" wrapText="1"/>
      <protection/>
    </xf>
    <xf numFmtId="0" fontId="80" fillId="70" borderId="35" xfId="132" applyFont="1" applyFill="1" applyBorder="1" applyAlignment="1" applyProtection="1">
      <alignment/>
      <protection/>
    </xf>
    <xf numFmtId="0" fontId="80" fillId="70" borderId="35" xfId="132" applyFont="1" applyFill="1" applyBorder="1" applyAlignment="1" applyProtection="1">
      <alignment horizontal="center" vertical="center" wrapText="1"/>
      <protection/>
    </xf>
    <xf numFmtId="43" fontId="98" fillId="0" borderId="35" xfId="69" applyFont="1" applyFill="1" applyBorder="1" applyAlignment="1" applyProtection="1">
      <alignment horizontal="center" vertical="center" wrapText="1"/>
      <protection/>
    </xf>
    <xf numFmtId="182" fontId="98" fillId="0" borderId="35" xfId="69" applyNumberFormat="1" applyFont="1" applyFill="1" applyBorder="1" applyAlignment="1" applyProtection="1">
      <alignment horizontal="center" vertical="center" wrapText="1"/>
      <protection/>
    </xf>
    <xf numFmtId="0" fontId="77" fillId="71" borderId="35" xfId="0" applyFont="1" applyFill="1" applyBorder="1" applyAlignment="1">
      <alignment horizontal="center" vertical="center"/>
    </xf>
    <xf numFmtId="9" fontId="98" fillId="0" borderId="0" xfId="149" applyFont="1" applyFill="1" applyAlignment="1" applyProtection="1">
      <alignment/>
      <protection/>
    </xf>
    <xf numFmtId="43" fontId="98" fillId="0" borderId="0" xfId="132" applyNumberFormat="1" applyFill="1" applyAlignment="1" applyProtection="1">
      <alignment wrapText="1"/>
      <protection/>
    </xf>
    <xf numFmtId="0" fontId="113" fillId="0" borderId="0" xfId="130" applyFont="1" applyFill="1" applyAlignment="1">
      <alignment vertical="center"/>
      <protection/>
    </xf>
    <xf numFmtId="1" fontId="113" fillId="0" borderId="0" xfId="130" applyNumberFormat="1" applyFont="1" applyFill="1" applyAlignment="1">
      <alignment vertical="center"/>
      <protection/>
    </xf>
    <xf numFmtId="0" fontId="113" fillId="0" borderId="0" xfId="130" applyFont="1" applyFill="1" applyAlignment="1">
      <alignment horizontal="center" vertical="center"/>
      <protection/>
    </xf>
    <xf numFmtId="0" fontId="113" fillId="0" borderId="0" xfId="130" applyFont="1" applyFill="1" applyAlignment="1" quotePrefix="1">
      <alignment horizontal="center" vertical="center"/>
      <protection/>
    </xf>
    <xf numFmtId="10" fontId="2" fillId="0" borderId="0" xfId="151" applyNumberFormat="1" applyFont="1" applyFill="1" applyAlignment="1">
      <alignment vertical="center"/>
    </xf>
    <xf numFmtId="0" fontId="78" fillId="0" borderId="35" xfId="0" applyFont="1" applyBorder="1" applyAlignment="1">
      <alignment wrapText="1"/>
    </xf>
    <xf numFmtId="43" fontId="78" fillId="0" borderId="35" xfId="69" applyFont="1" applyBorder="1" applyAlignment="1">
      <alignment wrapText="1"/>
    </xf>
    <xf numFmtId="9" fontId="114" fillId="0" borderId="37" xfId="149" applyFont="1" applyFill="1" applyBorder="1" applyAlignment="1">
      <alignment vertical="center"/>
    </xf>
    <xf numFmtId="0" fontId="114" fillId="63" borderId="36" xfId="126" applyFont="1" applyFill="1" applyBorder="1" applyAlignment="1">
      <alignment vertical="center"/>
      <protection/>
    </xf>
    <xf numFmtId="184" fontId="2" fillId="0" borderId="0" xfId="149" applyNumberFormat="1" applyFont="1" applyAlignment="1">
      <alignment/>
    </xf>
    <xf numFmtId="10" fontId="2" fillId="0" borderId="0" xfId="149" applyNumberFormat="1" applyFont="1" applyAlignment="1">
      <alignment/>
    </xf>
    <xf numFmtId="0" fontId="2" fillId="0" borderId="35" xfId="0" applyFont="1" applyBorder="1" applyAlignment="1">
      <alignment horizontal="center" vertical="center" wrapText="1"/>
    </xf>
    <xf numFmtId="0" fontId="39" fillId="58" borderId="0" xfId="136" applyFont="1" applyFill="1" applyBorder="1" applyAlignment="1" applyProtection="1">
      <alignment vertical="center"/>
      <protection/>
    </xf>
    <xf numFmtId="0" fontId="39" fillId="58" borderId="0" xfId="136" applyFont="1" applyFill="1" applyBorder="1" applyAlignment="1" applyProtection="1">
      <alignment horizontal="left" vertical="center"/>
      <protection/>
    </xf>
    <xf numFmtId="0" fontId="2" fillId="58" borderId="0" xfId="136" applyFont="1" applyFill="1" applyBorder="1" applyAlignment="1" applyProtection="1">
      <alignment vertical="center"/>
      <protection/>
    </xf>
    <xf numFmtId="0" fontId="74" fillId="58" borderId="0" xfId="136" applyFont="1" applyFill="1" applyBorder="1" applyAlignment="1" applyProtection="1">
      <alignment vertical="center"/>
      <protection/>
    </xf>
    <xf numFmtId="0" fontId="39" fillId="58" borderId="0" xfId="136" applyFont="1" applyFill="1" applyBorder="1" applyAlignment="1" applyProtection="1">
      <alignment horizontal="center" vertical="center"/>
      <protection/>
    </xf>
    <xf numFmtId="0" fontId="39" fillId="63" borderId="0" xfId="136" applyFont="1" applyFill="1" applyBorder="1" applyAlignment="1" applyProtection="1">
      <alignment horizontal="right" vertical="center"/>
      <protection/>
    </xf>
    <xf numFmtId="0" fontId="39" fillId="64" borderId="0" xfId="136" applyFont="1" applyFill="1" applyBorder="1" applyAlignment="1" applyProtection="1">
      <alignment horizontal="right" vertical="center"/>
      <protection/>
    </xf>
    <xf numFmtId="0" fontId="39" fillId="0" borderId="0" xfId="0" applyFont="1" applyBorder="1" applyAlignment="1">
      <alignment vertical="center"/>
    </xf>
    <xf numFmtId="0" fontId="2" fillId="0" borderId="0" xfId="0" applyFont="1" applyAlignment="1">
      <alignment horizontal="left" vertical="center" wrapText="1"/>
    </xf>
    <xf numFmtId="9" fontId="2" fillId="61" borderId="43" xfId="149" applyFont="1" applyFill="1" applyBorder="1" applyAlignment="1">
      <alignment vertical="center"/>
    </xf>
    <xf numFmtId="0" fontId="115" fillId="0" borderId="0" xfId="0" applyFont="1" applyAlignment="1">
      <alignment horizontal="left" vertical="center"/>
    </xf>
    <xf numFmtId="49" fontId="39" fillId="65" borderId="0" xfId="0" applyNumberFormat="1" applyFont="1" applyFill="1" applyAlignment="1">
      <alignment vertical="center"/>
    </xf>
    <xf numFmtId="0" fontId="39" fillId="0" borderId="0" xfId="0" applyFont="1" applyFill="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horizontal="left" vertical="center" wrapText="1"/>
    </xf>
    <xf numFmtId="0" fontId="39" fillId="67" borderId="0" xfId="0" applyFont="1" applyFill="1" applyAlignment="1">
      <alignment horizontal="left" vertical="center"/>
    </xf>
    <xf numFmtId="43" fontId="2" fillId="61" borderId="43" xfId="149" applyNumberFormat="1" applyFont="1" applyFill="1" applyBorder="1" applyAlignment="1">
      <alignment vertical="center"/>
    </xf>
    <xf numFmtId="183" fontId="2" fillId="0" borderId="0" xfId="0" applyNumberFormat="1" applyFont="1" applyAlignment="1">
      <alignment vertical="center"/>
    </xf>
    <xf numFmtId="0" fontId="39" fillId="61" borderId="0" xfId="0" applyFont="1" applyFill="1" applyAlignment="1">
      <alignment vertical="center"/>
    </xf>
    <xf numFmtId="0" fontId="72" fillId="0" borderId="0" xfId="0" applyFont="1" applyAlignment="1">
      <alignment vertical="center"/>
    </xf>
    <xf numFmtId="0" fontId="39" fillId="0" borderId="0" xfId="0" applyFont="1" applyAlignment="1">
      <alignment horizontal="left" vertical="center" wrapText="1"/>
    </xf>
    <xf numFmtId="0" fontId="39" fillId="0" borderId="0" xfId="0" applyFont="1" applyFill="1" applyAlignment="1">
      <alignment vertical="center"/>
    </xf>
    <xf numFmtId="0" fontId="74" fillId="0" borderId="0" xfId="0" applyFont="1" applyFill="1" applyAlignment="1">
      <alignment vertical="center"/>
    </xf>
    <xf numFmtId="0" fontId="72" fillId="0" borderId="0" xfId="0" applyFont="1" applyFill="1" applyAlignment="1">
      <alignment horizontal="left" vertical="center" wrapText="1"/>
    </xf>
    <xf numFmtId="182" fontId="72" fillId="0" borderId="0" xfId="69" applyNumberFormat="1" applyFont="1" applyFill="1" applyAlignment="1">
      <alignment vertical="center"/>
    </xf>
    <xf numFmtId="0" fontId="74" fillId="0" borderId="0" xfId="0" applyFont="1" applyAlignment="1">
      <alignment vertical="center"/>
    </xf>
    <xf numFmtId="182" fontId="72" fillId="0" borderId="0" xfId="0" applyNumberFormat="1" applyFont="1" applyAlignment="1">
      <alignment vertical="center"/>
    </xf>
    <xf numFmtId="0" fontId="76" fillId="71" borderId="35" xfId="0" applyFont="1" applyFill="1" applyBorder="1" applyAlignment="1">
      <alignment horizontal="center" vertical="center" wrapText="1"/>
    </xf>
    <xf numFmtId="0" fontId="117" fillId="0" borderId="0" xfId="0" applyNumberFormat="1" applyFont="1" applyFill="1" applyAlignment="1" applyProtection="1">
      <alignment/>
      <protection/>
    </xf>
    <xf numFmtId="0" fontId="0" fillId="0" borderId="0" xfId="0" applyFill="1" applyAlignment="1" applyProtection="1">
      <alignment/>
      <protection/>
    </xf>
    <xf numFmtId="0" fontId="112" fillId="0" borderId="35" xfId="126" applyFont="1" applyBorder="1" applyAlignment="1">
      <alignment vertical="center" wrapText="1"/>
      <protection/>
    </xf>
    <xf numFmtId="179" fontId="63" fillId="0" borderId="0" xfId="0" applyNumberFormat="1" applyFont="1" applyAlignment="1">
      <alignment horizontal="left"/>
    </xf>
    <xf numFmtId="184" fontId="2" fillId="0" borderId="0" xfId="0" applyNumberFormat="1" applyFont="1" applyAlignment="1">
      <alignment/>
    </xf>
    <xf numFmtId="0" fontId="25" fillId="0" borderId="0" xfId="0" applyFont="1" applyAlignment="1">
      <alignment/>
    </xf>
    <xf numFmtId="0" fontId="2" fillId="0" borderId="0" xfId="0" applyFont="1" applyAlignment="1" quotePrefix="1">
      <alignment/>
    </xf>
    <xf numFmtId="9" fontId="2" fillId="0" borderId="0" xfId="149" applyFont="1" applyAlignment="1">
      <alignment/>
    </xf>
    <xf numFmtId="3" fontId="2" fillId="0" borderId="0" xfId="0" applyNumberFormat="1" applyFont="1" applyAlignment="1">
      <alignment/>
    </xf>
    <xf numFmtId="10" fontId="2" fillId="0" borderId="0" xfId="149" applyNumberFormat="1" applyFont="1" applyBorder="1" applyAlignment="1">
      <alignment horizontal="right"/>
    </xf>
    <xf numFmtId="3" fontId="39" fillId="0" borderId="0" xfId="0" applyNumberFormat="1" applyFont="1" applyBorder="1" applyAlignment="1">
      <alignment horizontal="left" wrapText="1"/>
    </xf>
    <xf numFmtId="184" fontId="78" fillId="0" borderId="35" xfId="0" applyNumberFormat="1" applyFont="1" applyBorder="1" applyAlignment="1">
      <alignment/>
    </xf>
    <xf numFmtId="0" fontId="2" fillId="0" borderId="0" xfId="0" applyFont="1" applyFill="1" applyBorder="1" applyAlignment="1">
      <alignment/>
    </xf>
    <xf numFmtId="0" fontId="39" fillId="0" borderId="0" xfId="0" applyFont="1" applyFill="1" applyBorder="1" applyAlignment="1">
      <alignment/>
    </xf>
    <xf numFmtId="0" fontId="0" fillId="0" borderId="0" xfId="0" applyFill="1" applyAlignment="1">
      <alignment/>
    </xf>
    <xf numFmtId="9" fontId="2" fillId="0" borderId="0" xfId="149" applyFont="1" applyFill="1" applyAlignment="1">
      <alignment vertical="center"/>
    </xf>
    <xf numFmtId="0" fontId="39" fillId="0" borderId="0" xfId="0" applyFont="1" applyFill="1" applyAlignment="1">
      <alignment/>
    </xf>
    <xf numFmtId="9" fontId="2" fillId="60" borderId="0" xfId="149" applyNumberFormat="1" applyFont="1" applyFill="1" applyAlignment="1">
      <alignment vertical="center"/>
    </xf>
    <xf numFmtId="9" fontId="113" fillId="0" borderId="0" xfId="149" applyFont="1" applyAlignment="1">
      <alignment vertical="center"/>
    </xf>
    <xf numFmtId="0" fontId="112" fillId="0" borderId="44" xfId="0" applyFont="1" applyBorder="1" applyAlignment="1">
      <alignment horizontal="centerContinuous" vertical="center" wrapText="1"/>
    </xf>
    <xf numFmtId="0" fontId="112" fillId="0" borderId="45" xfId="0" applyFont="1" applyBorder="1" applyAlignment="1">
      <alignment horizontal="centerContinuous" vertical="center" wrapText="1"/>
    </xf>
    <xf numFmtId="0" fontId="112" fillId="0" borderId="46" xfId="0" applyFont="1" applyBorder="1" applyAlignment="1">
      <alignment horizontal="centerContinuous" vertical="center" wrapText="1"/>
    </xf>
    <xf numFmtId="0" fontId="113" fillId="73" borderId="44" xfId="0" applyFont="1" applyFill="1" applyBorder="1" applyAlignment="1">
      <alignment vertical="center"/>
    </xf>
    <xf numFmtId="4" fontId="113" fillId="73" borderId="45" xfId="0" applyNumberFormat="1" applyFont="1" applyFill="1" applyBorder="1" applyAlignment="1">
      <alignment vertical="center"/>
    </xf>
    <xf numFmtId="4" fontId="113" fillId="73" borderId="46" xfId="0" applyNumberFormat="1" applyFont="1" applyFill="1" applyBorder="1" applyAlignment="1">
      <alignment vertical="center"/>
    </xf>
    <xf numFmtId="0" fontId="113" fillId="0" borderId="47" xfId="0" applyFont="1" applyBorder="1" applyAlignment="1">
      <alignment vertical="center"/>
    </xf>
    <xf numFmtId="4" fontId="113" fillId="0" borderId="48" xfId="0" applyNumberFormat="1" applyFont="1" applyBorder="1" applyAlignment="1">
      <alignment vertical="center"/>
    </xf>
    <xf numFmtId="4" fontId="113" fillId="0" borderId="49" xfId="0" applyNumberFormat="1" applyFont="1" applyBorder="1" applyAlignment="1">
      <alignment vertical="center"/>
    </xf>
    <xf numFmtId="0" fontId="113" fillId="73" borderId="47" xfId="0" applyFont="1" applyFill="1" applyBorder="1" applyAlignment="1">
      <alignment vertical="center"/>
    </xf>
    <xf numFmtId="4" fontId="113" fillId="73" borderId="48" xfId="0" applyNumberFormat="1" applyFont="1" applyFill="1" applyBorder="1" applyAlignment="1">
      <alignment vertical="center"/>
    </xf>
    <xf numFmtId="4" fontId="113" fillId="73" borderId="49" xfId="0" applyNumberFormat="1" applyFont="1" applyFill="1" applyBorder="1" applyAlignment="1">
      <alignment vertical="center"/>
    </xf>
    <xf numFmtId="0" fontId="113" fillId="0" borderId="50" xfId="0" applyFont="1" applyBorder="1" applyAlignment="1">
      <alignment vertical="center"/>
    </xf>
    <xf numFmtId="4" fontId="113" fillId="0" borderId="51" xfId="0" applyNumberFormat="1" applyFont="1" applyBorder="1" applyAlignment="1">
      <alignment vertical="center"/>
    </xf>
    <xf numFmtId="4" fontId="113" fillId="0" borderId="52" xfId="0" applyNumberFormat="1" applyFont="1" applyBorder="1" applyAlignment="1">
      <alignment vertical="center"/>
    </xf>
    <xf numFmtId="0" fontId="104" fillId="0" borderId="0" xfId="118" applyAlignment="1">
      <alignment/>
    </xf>
    <xf numFmtId="0" fontId="39" fillId="0" borderId="35" xfId="0" applyFont="1" applyBorder="1" applyAlignment="1">
      <alignment/>
    </xf>
    <xf numFmtId="10" fontId="39" fillId="0" borderId="35" xfId="149" applyNumberFormat="1" applyFont="1" applyBorder="1" applyAlignment="1">
      <alignment/>
    </xf>
    <xf numFmtId="10" fontId="87" fillId="70" borderId="0" xfId="149" applyNumberFormat="1" applyFont="1" applyFill="1" applyAlignment="1" applyProtection="1">
      <alignment/>
      <protection/>
    </xf>
    <xf numFmtId="3" fontId="67" fillId="0" borderId="35" xfId="125" applyNumberFormat="1" applyFont="1" applyFill="1" applyBorder="1" applyAlignment="1">
      <alignment horizontal="justify" vertical="center" wrapText="1"/>
      <protection/>
    </xf>
    <xf numFmtId="9" fontId="67" fillId="0" borderId="35" xfId="149" applyFont="1" applyFill="1" applyBorder="1" applyAlignment="1">
      <alignment horizontal="center" vertical="center" wrapText="1"/>
    </xf>
    <xf numFmtId="0" fontId="78" fillId="0" borderId="0" xfId="0" applyFont="1" applyAlignment="1">
      <alignment horizontal="center" vertical="center"/>
    </xf>
    <xf numFmtId="182" fontId="0" fillId="0" borderId="0" xfId="0" applyNumberFormat="1" applyAlignment="1">
      <alignment/>
    </xf>
    <xf numFmtId="9" fontId="63" fillId="0" borderId="0" xfId="149" applyNumberFormat="1" applyFont="1" applyAlignment="1">
      <alignment/>
    </xf>
    <xf numFmtId="3" fontId="81" fillId="0" borderId="35" xfId="125" applyNumberFormat="1" applyFont="1" applyFill="1" applyBorder="1" applyAlignment="1">
      <alignment horizontal="justify" vertical="center"/>
      <protection/>
    </xf>
    <xf numFmtId="3" fontId="78" fillId="0" borderId="35" xfId="125" applyNumberFormat="1" applyFont="1" applyFill="1" applyBorder="1" applyAlignment="1" applyProtection="1">
      <alignment horizontal="left" vertical="center"/>
      <protection/>
    </xf>
    <xf numFmtId="43" fontId="113" fillId="0" borderId="0" xfId="69" applyFont="1" applyAlignment="1">
      <alignment vertical="center"/>
    </xf>
    <xf numFmtId="43" fontId="2" fillId="0" borderId="0" xfId="69" applyFont="1" applyAlignment="1">
      <alignment/>
    </xf>
    <xf numFmtId="182" fontId="2" fillId="0" borderId="0" xfId="0" applyNumberFormat="1" applyFont="1" applyAlignment="1">
      <alignment/>
    </xf>
    <xf numFmtId="182" fontId="39" fillId="0" borderId="0" xfId="0" applyNumberFormat="1" applyFont="1" applyAlignment="1">
      <alignment/>
    </xf>
    <xf numFmtId="9" fontId="2" fillId="0" borderId="0" xfId="149" applyNumberFormat="1" applyFont="1" applyAlignment="1">
      <alignment/>
    </xf>
    <xf numFmtId="185" fontId="2" fillId="0" borderId="0" xfId="69" applyNumberFormat="1" applyFont="1" applyAlignment="1">
      <alignment horizontal="right" vertical="center"/>
    </xf>
    <xf numFmtId="185" fontId="2" fillId="0" borderId="0" xfId="0" applyNumberFormat="1" applyFont="1" applyAlignment="1">
      <alignment horizontal="right" vertical="center"/>
    </xf>
    <xf numFmtId="0" fontId="39" fillId="67" borderId="0" xfId="0" applyFont="1" applyFill="1" applyAlignment="1">
      <alignment horizontal="center" vertical="center" wrapText="1"/>
    </xf>
    <xf numFmtId="43" fontId="113" fillId="0" borderId="0" xfId="130" applyNumberFormat="1" applyFont="1" applyAlignment="1">
      <alignment vertical="center"/>
      <protection/>
    </xf>
    <xf numFmtId="184" fontId="113" fillId="0" borderId="0" xfId="149" applyNumberFormat="1" applyFont="1" applyFill="1" applyAlignment="1">
      <alignment vertical="center"/>
    </xf>
    <xf numFmtId="182" fontId="78" fillId="0" borderId="35" xfId="69" applyNumberFormat="1" applyFont="1" applyBorder="1" applyAlignment="1">
      <alignment/>
    </xf>
    <xf numFmtId="0" fontId="77" fillId="0" borderId="0" xfId="0" applyFont="1" applyAlignment="1">
      <alignment horizontal="center"/>
    </xf>
    <xf numFmtId="3" fontId="39" fillId="0" borderId="0" xfId="0" applyNumberFormat="1" applyFont="1" applyBorder="1" applyAlignment="1">
      <alignment horizontal="left" wrapText="1" indent="1"/>
    </xf>
    <xf numFmtId="9" fontId="39" fillId="0" borderId="35" xfId="149" applyFont="1" applyBorder="1" applyAlignment="1">
      <alignment/>
    </xf>
    <xf numFmtId="9" fontId="78" fillId="0" borderId="35" xfId="149" applyFont="1" applyBorder="1" applyAlignment="1">
      <alignment/>
    </xf>
    <xf numFmtId="184" fontId="78" fillId="0" borderId="35" xfId="149" applyNumberFormat="1" applyFont="1" applyBorder="1" applyAlignment="1">
      <alignment/>
    </xf>
    <xf numFmtId="0" fontId="119" fillId="58" borderId="25" xfId="136" applyFont="1" applyFill="1" applyBorder="1" applyProtection="1">
      <alignment/>
      <protection locked="0"/>
    </xf>
    <xf numFmtId="182" fontId="0" fillId="0" borderId="0" xfId="69" applyNumberFormat="1" applyFont="1" applyAlignment="1">
      <alignment/>
    </xf>
    <xf numFmtId="0" fontId="19" fillId="0" borderId="0" xfId="0" applyFont="1" applyAlignment="1">
      <alignment/>
    </xf>
    <xf numFmtId="182" fontId="19" fillId="0" borderId="0" xfId="0" applyNumberFormat="1" applyFont="1" applyAlignment="1">
      <alignment/>
    </xf>
    <xf numFmtId="0" fontId="104" fillId="0" borderId="0" xfId="118" applyFill="1" applyBorder="1" applyAlignment="1">
      <alignment horizontal="left" vertical="center" wrapText="1"/>
    </xf>
    <xf numFmtId="43" fontId="2" fillId="0" borderId="0" xfId="0" applyNumberFormat="1" applyFont="1" applyAlignment="1">
      <alignment horizontal="right" vertical="center"/>
    </xf>
    <xf numFmtId="43" fontId="2" fillId="0" borderId="0" xfId="0" applyNumberFormat="1" applyFont="1" applyAlignment="1">
      <alignment vertical="center"/>
    </xf>
    <xf numFmtId="0" fontId="39" fillId="0" borderId="0" xfId="0" applyFont="1" applyBorder="1" applyAlignment="1">
      <alignment horizontal="left" vertical="center" wrapText="1"/>
    </xf>
    <xf numFmtId="0" fontId="39" fillId="0" borderId="0" xfId="0" applyFont="1" applyFill="1" applyBorder="1" applyAlignment="1">
      <alignment horizontal="left" vertical="center" wrapText="1"/>
    </xf>
    <xf numFmtId="183" fontId="39" fillId="0" borderId="0" xfId="0" applyNumberFormat="1" applyFont="1" applyAlignment="1">
      <alignment/>
    </xf>
    <xf numFmtId="43" fontId="78" fillId="61" borderId="35" xfId="149" applyNumberFormat="1" applyFont="1" applyFill="1" applyBorder="1" applyAlignment="1">
      <alignment vertical="center"/>
    </xf>
    <xf numFmtId="0" fontId="0" fillId="0" borderId="0" xfId="0" applyAlignment="1">
      <alignment horizontal="center" vertical="center"/>
    </xf>
    <xf numFmtId="43" fontId="25" fillId="0" borderId="0" xfId="0" applyNumberFormat="1" applyFont="1" applyAlignment="1">
      <alignment/>
    </xf>
    <xf numFmtId="43" fontId="82" fillId="0" borderId="0" xfId="0" applyNumberFormat="1" applyFont="1" applyAlignment="1">
      <alignment/>
    </xf>
    <xf numFmtId="182" fontId="25" fillId="0" borderId="0" xfId="0" applyNumberFormat="1" applyFont="1" applyAlignment="1">
      <alignment/>
    </xf>
    <xf numFmtId="182" fontId="82" fillId="0" borderId="0" xfId="0" applyNumberFormat="1" applyFont="1" applyAlignment="1">
      <alignment/>
    </xf>
    <xf numFmtId="9" fontId="2" fillId="0" borderId="0" xfId="149" applyNumberFormat="1" applyFont="1" applyAlignment="1">
      <alignment vertical="center"/>
    </xf>
    <xf numFmtId="1" fontId="25" fillId="0" borderId="0" xfId="0" applyNumberFormat="1" applyFont="1" applyAlignment="1">
      <alignment/>
    </xf>
    <xf numFmtId="1" fontId="82" fillId="0" borderId="0" xfId="0" applyNumberFormat="1" applyFont="1" applyAlignment="1">
      <alignment/>
    </xf>
    <xf numFmtId="184" fontId="25" fillId="0" borderId="0" xfId="149" applyNumberFormat="1" applyFont="1" applyAlignment="1">
      <alignment/>
    </xf>
    <xf numFmtId="16" fontId="72" fillId="65" borderId="0" xfId="0" applyNumberFormat="1" applyFont="1" applyFill="1" applyAlignment="1">
      <alignment/>
    </xf>
    <xf numFmtId="10" fontId="78" fillId="0" borderId="0" xfId="125" applyNumberFormat="1" applyFont="1" applyFill="1" applyAlignment="1">
      <alignment horizontal="left"/>
      <protection/>
    </xf>
    <xf numFmtId="3" fontId="81" fillId="74" borderId="35" xfId="125" applyNumberFormat="1" applyFont="1" applyFill="1" applyBorder="1" applyAlignment="1">
      <alignment horizontal="center" vertical="center" wrapText="1"/>
      <protection/>
    </xf>
    <xf numFmtId="3" fontId="81" fillId="74" borderId="35" xfId="125" applyNumberFormat="1" applyFont="1" applyFill="1" applyBorder="1" applyAlignment="1">
      <alignment horizontal="justify" vertical="center"/>
      <protection/>
    </xf>
    <xf numFmtId="3" fontId="81" fillId="74" borderId="35" xfId="125" applyNumberFormat="1" applyFont="1" applyFill="1" applyBorder="1" applyAlignment="1">
      <alignment horizontal="center" vertical="center"/>
      <protection/>
    </xf>
    <xf numFmtId="9" fontId="81" fillId="0" borderId="35" xfId="149" applyFont="1" applyFill="1" applyBorder="1" applyAlignment="1" applyProtection="1">
      <alignment horizontal="center" vertical="center"/>
      <protection hidden="1"/>
    </xf>
    <xf numFmtId="9" fontId="81" fillId="0" borderId="35" xfId="149" applyNumberFormat="1" applyFont="1" applyFill="1" applyBorder="1" applyAlignment="1" applyProtection="1">
      <alignment horizontal="center" vertical="center"/>
      <protection hidden="1"/>
    </xf>
    <xf numFmtId="3" fontId="81" fillId="0" borderId="35" xfId="125" applyNumberFormat="1" applyFont="1" applyFill="1" applyBorder="1" applyAlignment="1" applyProtection="1">
      <alignment horizontal="center" vertical="center" wrapText="1"/>
      <protection hidden="1"/>
    </xf>
    <xf numFmtId="0" fontId="78" fillId="0" borderId="0" xfId="125" applyFont="1" applyFill="1" applyAlignment="1" applyProtection="1">
      <alignment horizontal="left"/>
      <protection hidden="1"/>
    </xf>
    <xf numFmtId="0" fontId="120" fillId="70" borderId="35" xfId="132" applyFont="1" applyFill="1" applyBorder="1" applyAlignment="1" applyProtection="1">
      <alignment horizontal="center" vertical="center"/>
      <protection hidden="1"/>
    </xf>
    <xf numFmtId="0" fontId="39" fillId="71" borderId="35" xfId="125" applyFont="1" applyFill="1" applyBorder="1" applyAlignment="1" applyProtection="1">
      <alignment horizontal="center" vertical="center" wrapText="1"/>
      <protection hidden="1"/>
    </xf>
    <xf numFmtId="3" fontId="39" fillId="71" borderId="35" xfId="125" applyNumberFormat="1" applyFont="1" applyFill="1" applyBorder="1" applyAlignment="1" applyProtection="1">
      <alignment horizontal="center" vertical="center" wrapText="1"/>
      <protection hidden="1"/>
    </xf>
    <xf numFmtId="0" fontId="78" fillId="70" borderId="35" xfId="125" applyFont="1" applyFill="1" applyBorder="1" applyAlignment="1" applyProtection="1">
      <alignment horizontal="center" vertical="center"/>
      <protection hidden="1"/>
    </xf>
    <xf numFmtId="0" fontId="77" fillId="70" borderId="35" xfId="125" applyFont="1" applyFill="1" applyBorder="1" applyAlignment="1" applyProtection="1">
      <alignment horizontal="center" vertical="center"/>
      <protection hidden="1"/>
    </xf>
    <xf numFmtId="0" fontId="77" fillId="0" borderId="35" xfId="125" applyFont="1" applyFill="1" applyBorder="1" applyAlignment="1" applyProtection="1">
      <alignment horizontal="left" vertical="center" wrapText="1"/>
      <protection hidden="1"/>
    </xf>
    <xf numFmtId="1" fontId="114" fillId="0" borderId="36" xfId="126" applyNumberFormat="1" applyFont="1" applyBorder="1" applyAlignment="1">
      <alignment vertical="center"/>
      <protection/>
    </xf>
    <xf numFmtId="0" fontId="2" fillId="0" borderId="0" xfId="0" applyFont="1" applyBorder="1" applyAlignment="1">
      <alignment horizontal="center" vertical="center"/>
    </xf>
    <xf numFmtId="0" fontId="121" fillId="75" borderId="0" xfId="125" applyFont="1" applyFill="1" applyAlignment="1">
      <alignment horizontal="center" wrapText="1"/>
      <protection/>
    </xf>
    <xf numFmtId="0" fontId="39" fillId="74" borderId="53" xfId="125" applyFont="1" applyFill="1" applyBorder="1" applyAlignment="1">
      <alignment horizontal="center" vertical="center"/>
      <protection/>
    </xf>
    <xf numFmtId="0" fontId="39" fillId="74" borderId="54" xfId="125" applyFont="1" applyFill="1" applyBorder="1" applyAlignment="1">
      <alignment horizontal="center" vertical="center"/>
      <protection/>
    </xf>
    <xf numFmtId="0" fontId="39" fillId="74" borderId="55" xfId="125" applyFont="1" applyFill="1" applyBorder="1" applyAlignment="1">
      <alignment horizontal="center" vertical="center"/>
      <protection/>
    </xf>
    <xf numFmtId="0" fontId="39" fillId="71" borderId="30" xfId="125" applyFont="1" applyFill="1" applyBorder="1" applyAlignment="1" applyProtection="1">
      <alignment horizontal="center" vertical="center" wrapText="1"/>
      <protection hidden="1"/>
    </xf>
    <xf numFmtId="0" fontId="39" fillId="71" borderId="31" xfId="125" applyFont="1" applyFill="1" applyBorder="1" applyAlignment="1" applyProtection="1">
      <alignment horizontal="center" vertical="center" wrapText="1"/>
      <protection hidden="1"/>
    </xf>
    <xf numFmtId="0" fontId="39" fillId="70" borderId="35" xfId="125" applyFont="1" applyFill="1" applyBorder="1" applyAlignment="1" applyProtection="1">
      <alignment horizontal="center" vertical="center" wrapText="1"/>
      <protection hidden="1"/>
    </xf>
    <xf numFmtId="3" fontId="2" fillId="71" borderId="30" xfId="125" applyNumberFormat="1" applyFont="1" applyFill="1" applyBorder="1" applyAlignment="1" applyProtection="1">
      <alignment horizontal="center" vertical="center" wrapText="1"/>
      <protection hidden="1"/>
    </xf>
    <xf numFmtId="3" fontId="2" fillId="71" borderId="31" xfId="125" applyNumberFormat="1" applyFont="1" applyFill="1" applyBorder="1" applyAlignment="1" applyProtection="1">
      <alignment horizontal="center" vertical="center" wrapText="1"/>
      <protection hidden="1"/>
    </xf>
    <xf numFmtId="3" fontId="39" fillId="70" borderId="30" xfId="125" applyNumberFormat="1" applyFont="1" applyFill="1" applyBorder="1" applyAlignment="1" applyProtection="1">
      <alignment horizontal="center" vertical="center" wrapText="1"/>
      <protection hidden="1"/>
    </xf>
    <xf numFmtId="3" fontId="39" fillId="70" borderId="31" xfId="125" applyNumberFormat="1" applyFont="1" applyFill="1" applyBorder="1" applyAlignment="1" applyProtection="1">
      <alignment horizontal="center" vertical="center" wrapText="1"/>
      <protection hidden="1"/>
    </xf>
    <xf numFmtId="0" fontId="77" fillId="70" borderId="35" xfId="0" applyFont="1" applyFill="1" applyBorder="1" applyAlignment="1">
      <alignment horizont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xf>
    <xf numFmtId="0" fontId="114" fillId="0" borderId="35" xfId="126" applyFont="1" applyBorder="1" applyAlignment="1">
      <alignment horizontal="center" vertical="center"/>
      <protection/>
    </xf>
    <xf numFmtId="0" fontId="114" fillId="0" borderId="30" xfId="126" applyFont="1" applyBorder="1" applyAlignment="1">
      <alignment horizontal="center" vertical="center"/>
      <protection/>
    </xf>
    <xf numFmtId="0" fontId="114" fillId="0" borderId="4" xfId="126" applyFont="1" applyBorder="1" applyAlignment="1">
      <alignment horizontal="center" vertical="center"/>
      <protection/>
    </xf>
    <xf numFmtId="0" fontId="114" fillId="0" borderId="31" xfId="126" applyFont="1" applyBorder="1" applyAlignment="1">
      <alignment horizontal="center" vertical="center"/>
      <protection/>
    </xf>
    <xf numFmtId="0" fontId="31" fillId="44" borderId="30" xfId="135" applyFont="1" applyFill="1" applyBorder="1" applyAlignment="1">
      <alignment horizontal="center" vertical="center" wrapText="1"/>
      <protection/>
    </xf>
    <xf numFmtId="0" fontId="31" fillId="44" borderId="31" xfId="135" applyFont="1" applyFill="1" applyBorder="1" applyAlignment="1">
      <alignment horizontal="center" vertical="center" wrapText="1"/>
      <protection/>
    </xf>
    <xf numFmtId="0" fontId="112" fillId="0" borderId="35" xfId="126" applyFont="1" applyBorder="1" applyAlignment="1">
      <alignment horizontal="center" vertical="center" wrapText="1"/>
      <protection/>
    </xf>
    <xf numFmtId="0" fontId="98" fillId="0" borderId="25" xfId="132" applyFont="1" applyFill="1" applyBorder="1" applyAlignment="1" applyProtection="1">
      <alignment horizontal="center"/>
      <protection/>
    </xf>
    <xf numFmtId="0" fontId="98" fillId="0" borderId="0" xfId="132" applyFill="1" applyAlignment="1" applyProtection="1">
      <alignment horizontal="center" vertical="center"/>
      <protection/>
    </xf>
    <xf numFmtId="0" fontId="80" fillId="0" borderId="23" xfId="132" applyFont="1" applyFill="1" applyBorder="1" applyAlignment="1" applyProtection="1">
      <alignment horizontal="center" vertical="center" wrapText="1"/>
      <protection/>
    </xf>
    <xf numFmtId="0" fontId="80" fillId="0" borderId="0" xfId="132" applyFont="1" applyFill="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116" fillId="0" borderId="0" xfId="132" applyFont="1" applyFill="1" applyAlignment="1" applyProtection="1">
      <alignment horizontal="center"/>
      <protection/>
    </xf>
    <xf numFmtId="1" fontId="2" fillId="74" borderId="30" xfId="125" applyNumberFormat="1" applyFont="1" applyFill="1" applyBorder="1" applyAlignment="1">
      <alignment horizontal="center" vertical="center" wrapText="1"/>
      <protection/>
    </xf>
    <xf numFmtId="1" fontId="2" fillId="74" borderId="31" xfId="125" applyNumberFormat="1" applyFont="1" applyFill="1" applyBorder="1" applyAlignment="1">
      <alignment horizontal="center" vertical="center" wrapText="1"/>
      <protection/>
    </xf>
  </cellXfs>
  <cellStyles count="191">
    <cellStyle name="Normal" xfId="0"/>
    <cellStyle name="_pielikums veidlapai-2_v2_12082008" xfId="15"/>
    <cellStyle name="+" xfId="16"/>
    <cellStyle name="20% - Accent1" xfId="17"/>
    <cellStyle name="20% - Accent2" xfId="18"/>
    <cellStyle name="20% - Accent3" xfId="19"/>
    <cellStyle name="20% - Accent4" xfId="20"/>
    <cellStyle name="20% - Accent5" xfId="21"/>
    <cellStyle name="20% - Accent6" xfId="22"/>
    <cellStyle name="20% - Акцент1" xfId="23"/>
    <cellStyle name="20% - Акцент2" xfId="24"/>
    <cellStyle name="20% - Акцент3" xfId="25"/>
    <cellStyle name="20% - Акцент4" xfId="26"/>
    <cellStyle name="20% - Акцент5" xfId="27"/>
    <cellStyle name="20% - Акцент6" xfId="28"/>
    <cellStyle name="3" xfId="29"/>
    <cellStyle name="40% - Accent1" xfId="30"/>
    <cellStyle name="40% - Accent2" xfId="31"/>
    <cellStyle name="40% - Accent3" xfId="32"/>
    <cellStyle name="40% - Accent4" xfId="33"/>
    <cellStyle name="40% - Accent5" xfId="34"/>
    <cellStyle name="40% - Accent6" xfId="35"/>
    <cellStyle name="40% - Акцент1" xfId="36"/>
    <cellStyle name="40% - Акцент2" xfId="37"/>
    <cellStyle name="40% - Акцент3" xfId="38"/>
    <cellStyle name="40% - Акцент4" xfId="39"/>
    <cellStyle name="40% - Акцент5" xfId="40"/>
    <cellStyle name="40% - Акцент6" xfId="41"/>
    <cellStyle name="60% - Accent1" xfId="42"/>
    <cellStyle name="60% - Accent2" xfId="43"/>
    <cellStyle name="60% - Accent3" xfId="44"/>
    <cellStyle name="60% - Accent4" xfId="45"/>
    <cellStyle name="60% - Accent5" xfId="46"/>
    <cellStyle name="60% - Accent6" xfId="47"/>
    <cellStyle name="60% - Акцент1" xfId="48"/>
    <cellStyle name="60% - Акцент2" xfId="49"/>
    <cellStyle name="60% - Акцент3" xfId="50"/>
    <cellStyle name="60% - Акцент4" xfId="51"/>
    <cellStyle name="60% - Акцент5" xfId="52"/>
    <cellStyle name="60% - Акцент6" xfId="53"/>
    <cellStyle name="Accent1" xfId="54"/>
    <cellStyle name="Accent2" xfId="55"/>
    <cellStyle name="Accent3" xfId="56"/>
    <cellStyle name="Accent4" xfId="57"/>
    <cellStyle name="Accent5" xfId="58"/>
    <cellStyle name="Accent6" xfId="59"/>
    <cellStyle name="AFE" xfId="60"/>
    <cellStyle name="Bad" xfId="61"/>
    <cellStyle name="Calculation" xfId="62"/>
    <cellStyle name="Check Cell" xfId="63"/>
    <cellStyle name="ColumnAttributeAbovePrompt" xfId="64"/>
    <cellStyle name="ColumnAttributePrompt" xfId="65"/>
    <cellStyle name="ColumnAttributeValue" xfId="66"/>
    <cellStyle name="ColumnHeadingPrompt" xfId="67"/>
    <cellStyle name="ColumnHeadingValue" xfId="68"/>
    <cellStyle name="Comma" xfId="69"/>
    <cellStyle name="Comma [0]" xfId="70"/>
    <cellStyle name="Comma 2" xfId="71"/>
    <cellStyle name="Comma 3" xfId="72"/>
    <cellStyle name="Currency" xfId="73"/>
    <cellStyle name="Currency [0]" xfId="74"/>
    <cellStyle name="DblLineDollarAcct" xfId="75"/>
    <cellStyle name="DblLinePercent" xfId="76"/>
    <cellStyle name="DollarAccounting" xfId="77"/>
    <cellStyle name="Euro" xfId="78"/>
    <cellStyle name="Explanatory Text" xfId="79"/>
    <cellStyle name="EY Narrative text" xfId="80"/>
    <cellStyle name="EY%colcalc" xfId="81"/>
    <cellStyle name="EY%input" xfId="82"/>
    <cellStyle name="EY%rowcalc" xfId="83"/>
    <cellStyle name="EY0dp" xfId="84"/>
    <cellStyle name="EY1dp" xfId="85"/>
    <cellStyle name="EY2dp" xfId="86"/>
    <cellStyle name="EY3dp" xfId="87"/>
    <cellStyle name="EYChartTitle" xfId="88"/>
    <cellStyle name="EYColumnHeading" xfId="89"/>
    <cellStyle name="EYColumnHeadingItalic" xfId="90"/>
    <cellStyle name="EYCoverDatabookName" xfId="91"/>
    <cellStyle name="EYCoverDate" xfId="92"/>
    <cellStyle name="EYCoverDraft" xfId="93"/>
    <cellStyle name="EYCoverProjectName" xfId="94"/>
    <cellStyle name="EYCurrency" xfId="95"/>
    <cellStyle name="EYHeader1" xfId="96"/>
    <cellStyle name="EYHeader2" xfId="97"/>
    <cellStyle name="EYHeading1" xfId="98"/>
    <cellStyle name="EYheading2" xfId="99"/>
    <cellStyle name="EYheading3" xfId="100"/>
    <cellStyle name="EYNotes" xfId="101"/>
    <cellStyle name="EYNotesHeading" xfId="102"/>
    <cellStyle name="EYnumber" xfId="103"/>
    <cellStyle name="EYSectionHeading" xfId="104"/>
    <cellStyle name="EYSheetHeader1" xfId="105"/>
    <cellStyle name="EYSheetHeading" xfId="106"/>
    <cellStyle name="EYsmallheading" xfId="107"/>
    <cellStyle name="EYSource" xfId="108"/>
    <cellStyle name="EYtext" xfId="109"/>
    <cellStyle name="EYtextbold" xfId="110"/>
    <cellStyle name="EYtextbolditalic" xfId="111"/>
    <cellStyle name="EYtextitalic" xfId="112"/>
    <cellStyle name="Good" xfId="113"/>
    <cellStyle name="Heading 1" xfId="114"/>
    <cellStyle name="Heading 2" xfId="115"/>
    <cellStyle name="Heading 3" xfId="116"/>
    <cellStyle name="Heading 4" xfId="117"/>
    <cellStyle name="Hyperlink" xfId="118"/>
    <cellStyle name="Input" xfId="119"/>
    <cellStyle name="LineItemPrompt" xfId="120"/>
    <cellStyle name="LineItemValue" xfId="121"/>
    <cellStyle name="Linked Cell" xfId="122"/>
    <cellStyle name="Neutral" xfId="123"/>
    <cellStyle name="Normaali_Pitäjänmäen kuparialue" xfId="124"/>
    <cellStyle name="Normal 2" xfId="125"/>
    <cellStyle name="Normal 2 2" xfId="126"/>
    <cellStyle name="Normal 2 3" xfId="127"/>
    <cellStyle name="Normal 3" xfId="128"/>
    <cellStyle name="Normal 4" xfId="129"/>
    <cellStyle name="Normal 5" xfId="130"/>
    <cellStyle name="Normal 6" xfId="131"/>
    <cellStyle name="Normal 7" xfId="132"/>
    <cellStyle name="Normal 8" xfId="133"/>
    <cellStyle name="Normal 9" xfId="134"/>
    <cellStyle name="Normal_krievu" xfId="135"/>
    <cellStyle name="Normal_pielikums veidlapai-2_v2_12082008" xfId="136"/>
    <cellStyle name="Normal_Sheet1" xfId="137"/>
    <cellStyle name="Normal_Sheet1_1" xfId="138"/>
    <cellStyle name="Normal_Sheet1_rajoni1" xfId="139"/>
    <cellStyle name="Normal_visi_1-12" xfId="140"/>
    <cellStyle name="Note" xfId="141"/>
    <cellStyle name="Output" xfId="142"/>
    <cellStyle name="Output Amounts" xfId="143"/>
    <cellStyle name="Output Column Headings" xfId="144"/>
    <cellStyle name="Output Line Items" xfId="145"/>
    <cellStyle name="Output Report Heading" xfId="146"/>
    <cellStyle name="Output Report Title" xfId="147"/>
    <cellStyle name="Parastais_vakarskolas_2006" xfId="148"/>
    <cellStyle name="Percent" xfId="149"/>
    <cellStyle name="Percent 2" xfId="150"/>
    <cellStyle name="Percent 3" xfId="151"/>
    <cellStyle name="Percent 4" xfId="152"/>
    <cellStyle name="ReportTitlePrompt" xfId="153"/>
    <cellStyle name="ReportTitleValue" xfId="154"/>
    <cellStyle name="RowAcctAbovePrompt" xfId="155"/>
    <cellStyle name="RowAcctSOBAbovePrompt" xfId="156"/>
    <cellStyle name="RowAcctSOBValue" xfId="157"/>
    <cellStyle name="RowAcctValue" xfId="158"/>
    <cellStyle name="RowAttrAbovePrompt" xfId="159"/>
    <cellStyle name="RowAttrValue" xfId="160"/>
    <cellStyle name="RowColSetAbovePrompt" xfId="161"/>
    <cellStyle name="RowColSetLeftPrompt" xfId="162"/>
    <cellStyle name="RowColSetValue" xfId="163"/>
    <cellStyle name="RowLeftPrompt" xfId="164"/>
    <cellStyle name="SampleUsingFormatMask" xfId="165"/>
    <cellStyle name="SampleWithNoFormatMask" xfId="166"/>
    <cellStyle name="SAPBEXHLevel1" xfId="167"/>
    <cellStyle name="SAPBEXstdData" xfId="168"/>
    <cellStyle name="SingleLineAcctgn" xfId="169"/>
    <cellStyle name="SingleLinePercent" xfId="170"/>
    <cellStyle name="Standard_Erfassungsblatt97_4_04" xfId="171"/>
    <cellStyle name="Strukt" xfId="172"/>
    <cellStyle name="Style 1" xfId="173"/>
    <cellStyle name="TextNormal" xfId="174"/>
    <cellStyle name="Title" xfId="175"/>
    <cellStyle name="Total" xfId="176"/>
    <cellStyle name="Tusental_Investor_Report5_Srm2_030317" xfId="177"/>
    <cellStyle name="UploadThisRowValue" xfId="178"/>
    <cellStyle name="Warning Text" xfId="179"/>
    <cellStyle name="Акцент1" xfId="180"/>
    <cellStyle name="Акцент2" xfId="181"/>
    <cellStyle name="Акцент3" xfId="182"/>
    <cellStyle name="Акцент4" xfId="183"/>
    <cellStyle name="Акцент5" xfId="184"/>
    <cellStyle name="Акцент6" xfId="185"/>
    <cellStyle name="Ввод " xfId="186"/>
    <cellStyle name="Вывод" xfId="187"/>
    <cellStyle name="Вычисление" xfId="188"/>
    <cellStyle name="Заголовок 1" xfId="189"/>
    <cellStyle name="Заголовок 2" xfId="190"/>
    <cellStyle name="Заголовок 3" xfId="191"/>
    <cellStyle name="Заголовок 4" xfId="192"/>
    <cellStyle name="Итог" xfId="193"/>
    <cellStyle name="Контрольная ячейка" xfId="194"/>
    <cellStyle name="Название" xfId="195"/>
    <cellStyle name="Нейтральный" xfId="196"/>
    <cellStyle name="Обычный_597554" xfId="197"/>
    <cellStyle name="Плохой" xfId="198"/>
    <cellStyle name="Пояснение" xfId="199"/>
    <cellStyle name="Примечание" xfId="200"/>
    <cellStyle name="Связанная ячейка" xfId="201"/>
    <cellStyle name="Текст предупреждения" xfId="202"/>
    <cellStyle name="Хороший" xfId="203"/>
    <cellStyle name="一般_AR(updated on 1.5.06)"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pread%20Eagle\Insurance\Policies\1-10015-00%20203062\Arrears%20Qtr2-02\MORTIN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zm.gov.lv/images/izglitiba_augst/5_pielik_koefic.893.pdf"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zm.gov.lv/lv/publikacijas-un-statistika/statistika-par-izglitibu/statistika-par-visparejo-izglitibu/2015-2016-m-g"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s>
</file>

<file path=xl/worksheets/_rels/sheet21.xml.rels><?xml version="1.0" encoding="utf-8" standalone="yes"?><Relationships xmlns="http://schemas.openxmlformats.org/package/2006/relationships"><Relationship Id="rId1" Type="http://schemas.openxmlformats.org/officeDocument/2006/relationships/hyperlink" Target="https://www.oecd.org/edu/Education-at-a-Glance-2014.pdf"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E600"/>
  </sheetPr>
  <dimension ref="A1:K29"/>
  <sheetViews>
    <sheetView tabSelected="1" zoomScale="70" zoomScaleNormal="70" zoomScalePageLayoutView="0" workbookViewId="0" topLeftCell="A1">
      <selection activeCell="C9" sqref="C9"/>
    </sheetView>
  </sheetViews>
  <sheetFormatPr defaultColWidth="7.75390625" defaultRowHeight="15.75"/>
  <cols>
    <col min="1" max="1" width="3.00390625" style="315" customWidth="1"/>
    <col min="2" max="2" width="59.125" style="315" customWidth="1"/>
    <col min="3" max="3" width="21.875" style="315" customWidth="1"/>
    <col min="4" max="5" width="13.75390625" style="315" customWidth="1"/>
    <col min="6" max="11" width="14.125" style="315" customWidth="1"/>
    <col min="12" max="12" width="16.00390625" style="315" customWidth="1"/>
    <col min="13" max="13" width="7.75390625" style="315" customWidth="1"/>
    <col min="14" max="14" width="10.875" style="315" bestFit="1" customWidth="1"/>
    <col min="15" max="16384" width="7.75390625" style="315" customWidth="1"/>
  </cols>
  <sheetData>
    <row r="1" spans="2:5" ht="30" customHeight="1">
      <c r="B1" s="528" t="s">
        <v>719</v>
      </c>
      <c r="C1" s="528"/>
      <c r="E1" s="512"/>
    </row>
    <row r="2" ht="11.25" thickBot="1">
      <c r="B2" s="316"/>
    </row>
    <row r="3" spans="1:9" ht="54.75" customHeight="1" thickBot="1">
      <c r="A3" s="519"/>
      <c r="B3" s="537" t="s">
        <v>322</v>
      </c>
      <c r="C3" s="538"/>
      <c r="D3" s="534" t="s">
        <v>58</v>
      </c>
      <c r="E3" s="534"/>
      <c r="G3" s="529" t="s">
        <v>720</v>
      </c>
      <c r="H3" s="530"/>
      <c r="I3" s="531"/>
    </row>
    <row r="4" spans="1:5" ht="26.25" customHeight="1">
      <c r="A4" s="520" t="s">
        <v>195</v>
      </c>
      <c r="B4" s="535" t="s">
        <v>54</v>
      </c>
      <c r="C4" s="536"/>
      <c r="D4" s="557">
        <v>0</v>
      </c>
      <c r="E4" s="558"/>
    </row>
    <row r="5" spans="1:5" ht="26.25" customHeight="1">
      <c r="A5" s="520" t="s">
        <v>321</v>
      </c>
      <c r="B5" s="535" t="s">
        <v>55</v>
      </c>
      <c r="C5" s="536"/>
      <c r="D5" s="557">
        <v>0</v>
      </c>
      <c r="E5" s="558"/>
    </row>
    <row r="6" spans="1:5" ht="26.25" customHeight="1">
      <c r="A6" s="520" t="s">
        <v>376</v>
      </c>
      <c r="B6" s="535" t="s">
        <v>56</v>
      </c>
      <c r="C6" s="536"/>
      <c r="D6" s="557">
        <v>0</v>
      </c>
      <c r="E6" s="558"/>
    </row>
    <row r="7" spans="1:5" ht="26.25" customHeight="1">
      <c r="A7" s="520" t="s">
        <v>377</v>
      </c>
      <c r="B7" s="535" t="s">
        <v>57</v>
      </c>
      <c r="C7" s="536"/>
      <c r="D7" s="557">
        <v>0</v>
      </c>
      <c r="E7" s="558"/>
    </row>
    <row r="9" spans="2:11" ht="11.25">
      <c r="B9" s="523"/>
      <c r="C9" s="524">
        <v>2016</v>
      </c>
      <c r="D9" s="524">
        <v>2017</v>
      </c>
      <c r="E9" s="524">
        <v>2018</v>
      </c>
      <c r="F9" s="524">
        <v>2019</v>
      </c>
      <c r="G9" s="524">
        <v>2020</v>
      </c>
      <c r="H9" s="524">
        <v>2021</v>
      </c>
      <c r="I9" s="524">
        <v>2022</v>
      </c>
      <c r="J9" s="524">
        <v>2023</v>
      </c>
      <c r="K9" s="524">
        <v>2024</v>
      </c>
    </row>
    <row r="10" spans="2:11" ht="11.25">
      <c r="B10" s="525" t="s">
        <v>650</v>
      </c>
      <c r="C10" s="474">
        <v>0</v>
      </c>
      <c r="D10" s="474">
        <v>0</v>
      </c>
      <c r="E10" s="474">
        <v>0</v>
      </c>
      <c r="F10" s="474">
        <v>0</v>
      </c>
      <c r="G10" s="474">
        <v>0</v>
      </c>
      <c r="H10" s="474">
        <v>0</v>
      </c>
      <c r="I10" s="474">
        <v>0</v>
      </c>
      <c r="J10" s="474">
        <v>0</v>
      </c>
      <c r="K10" s="474">
        <v>0</v>
      </c>
    </row>
    <row r="12" spans="1:9" ht="63.75">
      <c r="A12" s="521" t="s">
        <v>59</v>
      </c>
      <c r="B12" s="521" t="s">
        <v>653</v>
      </c>
      <c r="C12" s="521" t="s">
        <v>654</v>
      </c>
      <c r="D12" s="521" t="s">
        <v>651</v>
      </c>
      <c r="E12" s="521" t="s">
        <v>61</v>
      </c>
      <c r="F12" s="521" t="s">
        <v>652</v>
      </c>
      <c r="G12" s="521" t="s">
        <v>62</v>
      </c>
      <c r="H12" s="521" t="s">
        <v>63</v>
      </c>
      <c r="I12" s="521" t="s">
        <v>64</v>
      </c>
    </row>
    <row r="13" spans="1:9" ht="12.75">
      <c r="A13" s="532" t="s">
        <v>21</v>
      </c>
      <c r="B13" s="533"/>
      <c r="C13" s="521" t="s">
        <v>70</v>
      </c>
      <c r="D13" s="522" t="str">
        <f>IF(SUM(D14:D29)=0,"-",SUM(D14:D29))</f>
        <v>-</v>
      </c>
      <c r="E13" s="521" t="s">
        <v>70</v>
      </c>
      <c r="F13" s="521" t="s">
        <v>70</v>
      </c>
      <c r="G13" s="521" t="s">
        <v>70</v>
      </c>
      <c r="H13" s="522" t="str">
        <f>IF(SUM(H14:H23)=0,"-",SUM(H14:H23))</f>
        <v>-</v>
      </c>
      <c r="I13" s="522" t="str">
        <f>IF(B1="Kopā",#REF!,IF(SUM(I14:I23)=0,"-",SUM(I14:I23)))</f>
        <v>-</v>
      </c>
    </row>
    <row r="14" spans="1:9" ht="13.5">
      <c r="A14" s="473">
        <v>1</v>
      </c>
      <c r="B14" s="513" t="s">
        <v>668</v>
      </c>
      <c r="C14" s="514"/>
      <c r="D14" s="515"/>
      <c r="E14" s="516">
        <f>_xlfn.IFERROR(INDEX(Pieņēmumi!$C$27:$C$44,MATCH(B14,Pieņēmumi!$B$27:$B$44,0)),"")</f>
        <v>0.03333333333333333</v>
      </c>
      <c r="F14" s="513"/>
      <c r="G14" s="518">
        <f>_xlfn.IFERROR(20-F14,"")</f>
        <v>20</v>
      </c>
      <c r="H14" s="518">
        <f>_xlfn.IFERROR(IF(E14*D14*G14&gt;D14,D14,E14*D14*G14),"")</f>
        <v>0</v>
      </c>
      <c r="I14" s="518">
        <f aca="true" t="shared" si="0" ref="I14:I25">_xlfn.IFERROR(D14-H14,"")</f>
        <v>0</v>
      </c>
    </row>
    <row r="15" spans="1:9" ht="13.5">
      <c r="A15" s="473">
        <f>A14+1</f>
        <v>2</v>
      </c>
      <c r="B15" s="513" t="s">
        <v>716</v>
      </c>
      <c r="C15" s="514"/>
      <c r="D15" s="515"/>
      <c r="E15" s="516">
        <f>_xlfn.IFERROR(INDEX(Pieņēmumi!$C$27:$C$44,MATCH(B15,Pieņēmumi!$B$27:$B$44,0)),"")</f>
        <v>0.0067</v>
      </c>
      <c r="F15" s="513"/>
      <c r="G15" s="518">
        <f aca="true" t="shared" si="1" ref="G15:G29">_xlfn.IFERROR(20-F15,"")</f>
        <v>20</v>
      </c>
      <c r="H15" s="518">
        <f aca="true" t="shared" si="2" ref="H15:H29">_xlfn.IFERROR(IF(E15*D15*G15&gt;D15,D15,E15*D15*G15),"")</f>
        <v>0</v>
      </c>
      <c r="I15" s="518">
        <f t="shared" si="0"/>
        <v>0</v>
      </c>
    </row>
    <row r="16" spans="1:9" ht="13.5">
      <c r="A16" s="473">
        <f aca="true" t="shared" si="3" ref="A16:A23">A15+1</f>
        <v>3</v>
      </c>
      <c r="B16" s="513" t="s">
        <v>717</v>
      </c>
      <c r="C16" s="514"/>
      <c r="D16" s="515"/>
      <c r="E16" s="517">
        <f>_xlfn.IFERROR(INDEX(Pieņēmumi!$C$27:$C$44,MATCH(B16,Pieņēmumi!$B$27:$B$44,0)),"")</f>
        <v>0.01</v>
      </c>
      <c r="F16" s="513"/>
      <c r="G16" s="518">
        <f t="shared" si="1"/>
        <v>20</v>
      </c>
      <c r="H16" s="518">
        <f t="shared" si="2"/>
        <v>0</v>
      </c>
      <c r="I16" s="518">
        <f t="shared" si="0"/>
        <v>0</v>
      </c>
    </row>
    <row r="17" spans="1:9" ht="13.5">
      <c r="A17" s="473">
        <f t="shared" si="3"/>
        <v>4</v>
      </c>
      <c r="B17" s="513" t="s">
        <v>645</v>
      </c>
      <c r="C17" s="514"/>
      <c r="D17" s="515"/>
      <c r="E17" s="516">
        <f>_xlfn.IFERROR(INDEX(Pieņēmumi!$C$27:$C$44,MATCH(B17,Pieņēmumi!$B$27:$B$44,0)),"")</f>
        <v>0.0333</v>
      </c>
      <c r="F17" s="513"/>
      <c r="G17" s="518">
        <f t="shared" si="1"/>
        <v>20</v>
      </c>
      <c r="H17" s="518">
        <f t="shared" si="2"/>
        <v>0</v>
      </c>
      <c r="I17" s="518">
        <f t="shared" si="0"/>
        <v>0</v>
      </c>
    </row>
    <row r="18" spans="1:9" ht="13.5">
      <c r="A18" s="473">
        <f t="shared" si="3"/>
        <v>5</v>
      </c>
      <c r="B18" s="513" t="s">
        <v>646</v>
      </c>
      <c r="C18" s="514"/>
      <c r="D18" s="515"/>
      <c r="E18" s="516">
        <f>_xlfn.IFERROR(INDEX(Pieņēmumi!$C$27:$C$44,MATCH(B18,Pieņēmumi!$B$27:$B$44,0)),"")</f>
        <v>0.0667</v>
      </c>
      <c r="F18" s="513"/>
      <c r="G18" s="518">
        <f t="shared" si="1"/>
        <v>20</v>
      </c>
      <c r="H18" s="518">
        <f t="shared" si="2"/>
        <v>0</v>
      </c>
      <c r="I18" s="518">
        <f t="shared" si="0"/>
        <v>0</v>
      </c>
    </row>
    <row r="19" spans="1:9" ht="13.5">
      <c r="A19" s="473">
        <f t="shared" si="3"/>
        <v>6</v>
      </c>
      <c r="B19" s="513" t="s">
        <v>649</v>
      </c>
      <c r="C19" s="514"/>
      <c r="D19" s="515"/>
      <c r="E19" s="516">
        <f>_xlfn.IFERROR(INDEX(Pieņēmumi!$C$27:$C$44,MATCH(B19,Pieņēmumi!$B$27:$B$44,0)),"")</f>
        <v>0.05</v>
      </c>
      <c r="F19" s="513"/>
      <c r="G19" s="518">
        <f t="shared" si="1"/>
        <v>20</v>
      </c>
      <c r="H19" s="518">
        <f t="shared" si="2"/>
        <v>0</v>
      </c>
      <c r="I19" s="518">
        <f t="shared" si="0"/>
        <v>0</v>
      </c>
    </row>
    <row r="20" spans="1:9" ht="13.5">
      <c r="A20" s="473">
        <f t="shared" si="3"/>
        <v>7</v>
      </c>
      <c r="B20" s="513" t="s">
        <v>66</v>
      </c>
      <c r="C20" s="514"/>
      <c r="D20" s="515"/>
      <c r="E20" s="516">
        <f>_xlfn.IFERROR(INDEX(Pieņēmumi!$C$27:$C$44,MATCH(B20,Pieņēmumi!$B$27:$B$44,0)),"")</f>
        <v>0.0333</v>
      </c>
      <c r="F20" s="513"/>
      <c r="G20" s="518">
        <f t="shared" si="1"/>
        <v>20</v>
      </c>
      <c r="H20" s="518">
        <f t="shared" si="2"/>
        <v>0</v>
      </c>
      <c r="I20" s="518">
        <f t="shared" si="0"/>
        <v>0</v>
      </c>
    </row>
    <row r="21" spans="1:9" ht="13.5">
      <c r="A21" s="473">
        <f t="shared" si="3"/>
        <v>8</v>
      </c>
      <c r="B21" s="513" t="s">
        <v>67</v>
      </c>
      <c r="C21" s="514"/>
      <c r="D21" s="515"/>
      <c r="E21" s="516">
        <f>_xlfn.IFERROR(INDEX(Pieņēmumi!$C$27:$C$44,MATCH(B21,Pieņēmumi!$B$27:$B$44,0)),"")</f>
        <v>0.1</v>
      </c>
      <c r="F21" s="513"/>
      <c r="G21" s="518">
        <f t="shared" si="1"/>
        <v>20</v>
      </c>
      <c r="H21" s="518">
        <f t="shared" si="2"/>
        <v>0</v>
      </c>
      <c r="I21" s="518">
        <f t="shared" si="0"/>
        <v>0</v>
      </c>
    </row>
    <row r="22" spans="1:9" ht="13.5">
      <c r="A22" s="473">
        <f t="shared" si="3"/>
        <v>9</v>
      </c>
      <c r="B22" s="513" t="s">
        <v>69</v>
      </c>
      <c r="C22" s="514"/>
      <c r="D22" s="515"/>
      <c r="E22" s="516">
        <f>_xlfn.IFERROR(INDEX(Pieņēmumi!$C$27:$C$44,MATCH(B22,Pieņēmumi!$B$27:$B$44,0)),"")</f>
        <v>0.2</v>
      </c>
      <c r="F22" s="513"/>
      <c r="G22" s="518">
        <f t="shared" si="1"/>
        <v>20</v>
      </c>
      <c r="H22" s="518">
        <f t="shared" si="2"/>
        <v>0</v>
      </c>
      <c r="I22" s="518">
        <f t="shared" si="0"/>
        <v>0</v>
      </c>
    </row>
    <row r="23" spans="1:9" ht="13.5">
      <c r="A23" s="473">
        <f t="shared" si="3"/>
        <v>10</v>
      </c>
      <c r="B23" s="513" t="s">
        <v>647</v>
      </c>
      <c r="C23" s="514"/>
      <c r="D23" s="515"/>
      <c r="E23" s="516">
        <f>_xlfn.IFERROR(INDEX(Pieņēmumi!$C$27:$C$44,MATCH(B23,Pieņēmumi!$B$27:$B$44,0)),"")</f>
        <v>0.2</v>
      </c>
      <c r="F23" s="513"/>
      <c r="G23" s="518">
        <f t="shared" si="1"/>
        <v>20</v>
      </c>
      <c r="H23" s="518">
        <f t="shared" si="2"/>
        <v>0</v>
      </c>
      <c r="I23" s="518">
        <f t="shared" si="0"/>
        <v>0</v>
      </c>
    </row>
    <row r="24" spans="1:9" ht="13.5">
      <c r="A24" s="473">
        <f aca="true" t="shared" si="4" ref="A24:A29">A23+1</f>
        <v>11</v>
      </c>
      <c r="B24" s="513" t="s">
        <v>648</v>
      </c>
      <c r="C24" s="514"/>
      <c r="D24" s="515"/>
      <c r="E24" s="516">
        <f>_xlfn.IFERROR(INDEX(Pieņēmumi!$C$27:$C$44,MATCH(B24,Pieņēmumi!$B$27:$B$44,0)),"")</f>
        <v>0.1</v>
      </c>
      <c r="F24" s="513"/>
      <c r="G24" s="518">
        <f t="shared" si="1"/>
        <v>20</v>
      </c>
      <c r="H24" s="518">
        <f t="shared" si="2"/>
        <v>0</v>
      </c>
      <c r="I24" s="518">
        <f t="shared" si="0"/>
        <v>0</v>
      </c>
    </row>
    <row r="25" spans="1:9" ht="13.5">
      <c r="A25" s="473">
        <f t="shared" si="4"/>
        <v>12</v>
      </c>
      <c r="B25" s="513" t="s">
        <v>71</v>
      </c>
      <c r="C25" s="514"/>
      <c r="D25" s="515"/>
      <c r="E25" s="516">
        <f>_xlfn.IFERROR(INDEX(Pieņēmumi!$C$27:$C$44,MATCH(B25,Pieņēmumi!$B$27:$B$44,0)),"")</f>
        <v>0.06673</v>
      </c>
      <c r="F25" s="513"/>
      <c r="G25" s="518">
        <f t="shared" si="1"/>
        <v>20</v>
      </c>
      <c r="H25" s="518">
        <f t="shared" si="2"/>
        <v>0</v>
      </c>
      <c r="I25" s="518">
        <f t="shared" si="0"/>
        <v>0</v>
      </c>
    </row>
    <row r="26" spans="1:9" ht="13.5">
      <c r="A26" s="473">
        <f t="shared" si="4"/>
        <v>13</v>
      </c>
      <c r="B26" s="513"/>
      <c r="C26" s="514"/>
      <c r="D26" s="515"/>
      <c r="E26" s="516">
        <f>_xlfn.IFERROR(INDEX(Pieņēmumi!$C$27:$C$44,MATCH(B26,Pieņēmumi!$B$27:$B$44,0)),"")</f>
      </c>
      <c r="F26" s="513"/>
      <c r="G26" s="518">
        <f t="shared" si="1"/>
        <v>20</v>
      </c>
      <c r="H26" s="518">
        <f t="shared" si="2"/>
      </c>
      <c r="I26" s="518">
        <f>_xlfn.IFERROR(D26-H26,"")</f>
      </c>
    </row>
    <row r="27" spans="1:9" ht="13.5">
      <c r="A27" s="473">
        <f t="shared" si="4"/>
        <v>14</v>
      </c>
      <c r="B27" s="513"/>
      <c r="C27" s="514"/>
      <c r="D27" s="515"/>
      <c r="E27" s="516">
        <f>_xlfn.IFERROR(INDEX(Pieņēmumi!$C$27:$C$44,MATCH(B27,Pieņēmumi!$B$27:$B$44,0)),"")</f>
      </c>
      <c r="F27" s="513"/>
      <c r="G27" s="518">
        <f t="shared" si="1"/>
        <v>20</v>
      </c>
      <c r="H27" s="518">
        <f t="shared" si="2"/>
      </c>
      <c r="I27" s="518">
        <f>_xlfn.IFERROR(D27-H27,"")</f>
      </c>
    </row>
    <row r="28" spans="1:9" ht="13.5">
      <c r="A28" s="473">
        <f t="shared" si="4"/>
        <v>15</v>
      </c>
      <c r="B28" s="513"/>
      <c r="C28" s="514"/>
      <c r="D28" s="515"/>
      <c r="E28" s="516">
        <f>_xlfn.IFERROR(INDEX(Pieņēmumi!$C$27:$C$44,MATCH(B28,Pieņēmumi!$B$27:$B$44,0)),"")</f>
      </c>
      <c r="F28" s="513"/>
      <c r="G28" s="518">
        <f t="shared" si="1"/>
        <v>20</v>
      </c>
      <c r="H28" s="518">
        <f t="shared" si="2"/>
      </c>
      <c r="I28" s="518">
        <f>_xlfn.IFERROR(D28-H28,"")</f>
      </c>
    </row>
    <row r="29" spans="1:9" ht="13.5">
      <c r="A29" s="473">
        <f t="shared" si="4"/>
        <v>16</v>
      </c>
      <c r="B29" s="513"/>
      <c r="C29" s="514"/>
      <c r="D29" s="515"/>
      <c r="E29" s="516">
        <f>_xlfn.IFERROR(INDEX(Pieņēmumi!$C$27:$C$44,MATCH(B29,Pieņēmumi!$B$27:$B$44,0)),"")</f>
      </c>
      <c r="F29" s="513"/>
      <c r="G29" s="518">
        <f t="shared" si="1"/>
        <v>20</v>
      </c>
      <c r="H29" s="518">
        <f t="shared" si="2"/>
      </c>
      <c r="I29" s="518">
        <f>_xlfn.IFERROR(D29-H29,"")</f>
      </c>
    </row>
  </sheetData>
  <sheetProtection/>
  <protectedRanges>
    <protectedRange sqref="B5" name="Range3"/>
  </protectedRanges>
  <mergeCells count="13">
    <mergeCell ref="B6:C6"/>
    <mergeCell ref="B7:C7"/>
    <mergeCell ref="B3:C3"/>
    <mergeCell ref="B1:C1"/>
    <mergeCell ref="G3:I3"/>
    <mergeCell ref="A13:B13"/>
    <mergeCell ref="D4:E4"/>
    <mergeCell ref="D5:E5"/>
    <mergeCell ref="D6:E6"/>
    <mergeCell ref="D7:E7"/>
    <mergeCell ref="D3:E3"/>
    <mergeCell ref="B4:C4"/>
    <mergeCell ref="B5:C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0F0F0"/>
  </sheetPr>
  <dimension ref="A1:AC101"/>
  <sheetViews>
    <sheetView showGridLines="0" zoomScale="55" zoomScaleNormal="55" zoomScalePageLayoutView="0" workbookViewId="0" topLeftCell="F1">
      <pane ySplit="3" topLeftCell="A4" activePane="bottomLeft" state="frozen"/>
      <selection pane="topLeft" activeCell="B93" sqref="B93"/>
      <selection pane="bottomLeft" activeCell="B93" sqref="B93"/>
    </sheetView>
  </sheetViews>
  <sheetFormatPr defaultColWidth="9.00390625" defaultRowHeight="15.75"/>
  <cols>
    <col min="1" max="1" width="2.625" style="152" customWidth="1"/>
    <col min="2" max="2" width="4.125" style="152" hidden="1" customWidth="1"/>
    <col min="3" max="3" width="127.375" style="152" customWidth="1"/>
    <col min="4" max="4" width="9.00390625" style="152" customWidth="1"/>
    <col min="5" max="5" width="13.00390625" style="152" customWidth="1"/>
    <col min="6" max="6" width="9.00390625" style="152" customWidth="1"/>
    <col min="7" max="7" width="11.125" style="152" customWidth="1"/>
    <col min="8" max="11" width="9.25390625" style="152" bestFit="1" customWidth="1"/>
    <col min="12" max="14" width="10.50390625" style="152" bestFit="1" customWidth="1"/>
    <col min="15" max="27" width="11.375" style="152" bestFit="1" customWidth="1"/>
    <col min="28" max="16384" width="9.00390625" style="152"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vai profesionālās kultūrizglītības iestādes (PII) nosaukums</v>
      </c>
      <c r="B3" s="150"/>
      <c r="C3" s="157"/>
      <c r="D3" s="157" t="s">
        <v>3</v>
      </c>
      <c r="E3" s="227"/>
      <c r="F3" s="22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153</v>
      </c>
      <c r="C4" s="219" t="s">
        <v>249</v>
      </c>
    </row>
    <row r="5" s="206" customFormat="1" ht="12.75">
      <c r="C5" s="206" t="s">
        <v>250</v>
      </c>
    </row>
    <row r="6" spans="3:5" ht="12.75">
      <c r="C6" s="172" t="s">
        <v>251</v>
      </c>
      <c r="D6" s="152" t="s">
        <v>13</v>
      </c>
      <c r="E6" s="434">
        <v>0.045</v>
      </c>
    </row>
    <row r="7" spans="3:5" ht="12.75">
      <c r="C7" s="172" t="s">
        <v>161</v>
      </c>
      <c r="D7" s="152" t="s">
        <v>13</v>
      </c>
      <c r="E7" s="171">
        <f>(1+E6)^2</f>
        <v>1.0920249999999998</v>
      </c>
    </row>
    <row r="8" spans="3:5" ht="12.75">
      <c r="C8" s="172" t="s">
        <v>160</v>
      </c>
      <c r="D8" s="152" t="s">
        <v>13</v>
      </c>
      <c r="E8" s="171">
        <v>1</v>
      </c>
    </row>
    <row r="9" spans="3:5" ht="12.75">
      <c r="C9" s="172" t="s">
        <v>159</v>
      </c>
      <c r="D9" s="152" t="s">
        <v>13</v>
      </c>
      <c r="E9" s="171">
        <f>E8-E6</f>
        <v>0.955</v>
      </c>
    </row>
    <row r="10" spans="3:5" ht="12.75">
      <c r="C10" s="172" t="s">
        <v>158</v>
      </c>
      <c r="D10" s="152" t="s">
        <v>13</v>
      </c>
      <c r="E10" s="171">
        <f>(1-E6)^4</f>
        <v>0.831789600625</v>
      </c>
    </row>
    <row r="11" spans="3:5" ht="12.75">
      <c r="C11" s="172"/>
      <c r="E11" s="171"/>
    </row>
    <row r="12" spans="3:5" ht="12.75">
      <c r="C12" s="175" t="s">
        <v>572</v>
      </c>
      <c r="E12" s="171"/>
    </row>
    <row r="13" spans="3:27" ht="12.75">
      <c r="C13" s="164" t="s">
        <v>54</v>
      </c>
      <c r="E13" s="309">
        <f>'Pievienotā vērtība'!B74</f>
        <v>19691.964285714286</v>
      </c>
      <c r="F13" s="309">
        <f>E13*(1+F$17)</f>
        <v>20302.415178571428</v>
      </c>
      <c r="G13" s="309">
        <f aca="true" t="shared" si="0" ref="G13:AA13">F13*(1+G$17)</f>
        <v>21114.511785714287</v>
      </c>
      <c r="H13" s="309">
        <f t="shared" si="0"/>
        <v>22043.550304285716</v>
      </c>
      <c r="I13" s="309">
        <f t="shared" si="0"/>
        <v>23035.510067978572</v>
      </c>
      <c r="J13" s="309">
        <f t="shared" si="0"/>
        <v>24095.143531105587</v>
      </c>
      <c r="K13" s="309">
        <f t="shared" si="0"/>
        <v>24842.092980569858</v>
      </c>
      <c r="L13" s="309">
        <f t="shared" si="0"/>
        <v>25612.19786296752</v>
      </c>
      <c r="M13" s="309">
        <f t="shared" si="0"/>
        <v>26406.175996719514</v>
      </c>
      <c r="N13" s="309">
        <f t="shared" si="0"/>
        <v>27224.767452617816</v>
      </c>
      <c r="O13" s="309">
        <f t="shared" si="0"/>
        <v>28068.735243648967</v>
      </c>
      <c r="P13" s="309">
        <f t="shared" si="0"/>
        <v>28938.866036202082</v>
      </c>
      <c r="Q13" s="309">
        <f t="shared" si="0"/>
        <v>29835.970883324346</v>
      </c>
      <c r="R13" s="309">
        <f t="shared" si="0"/>
        <v>30760.885980707397</v>
      </c>
      <c r="S13" s="309">
        <f t="shared" si="0"/>
        <v>31714.473446109325</v>
      </c>
      <c r="T13" s="309">
        <f t="shared" si="0"/>
        <v>32697.622122938712</v>
      </c>
      <c r="U13" s="309">
        <f t="shared" si="0"/>
        <v>33711.24840874981</v>
      </c>
      <c r="V13" s="309">
        <f t="shared" si="0"/>
        <v>34756.29710942105</v>
      </c>
      <c r="W13" s="309">
        <f t="shared" si="0"/>
        <v>35833.7423198131</v>
      </c>
      <c r="X13" s="309">
        <f t="shared" si="0"/>
        <v>36944.588331727304</v>
      </c>
      <c r="Y13" s="309">
        <f t="shared" si="0"/>
        <v>38089.87057001085</v>
      </c>
      <c r="Z13" s="309">
        <f t="shared" si="0"/>
        <v>39270.65655768118</v>
      </c>
      <c r="AA13" s="309">
        <f t="shared" si="0"/>
        <v>40488.04691096929</v>
      </c>
    </row>
    <row r="14" spans="3:27" ht="12.75">
      <c r="C14" s="164" t="s">
        <v>55</v>
      </c>
      <c r="E14" s="309">
        <f>'Pievienotā vērtība'!C74</f>
        <v>24799.692645444567</v>
      </c>
      <c r="F14" s="309">
        <f aca="true" t="shared" si="1" ref="F14:U14">E14*(1+E$17)</f>
        <v>24799.692645444567</v>
      </c>
      <c r="G14" s="309">
        <f t="shared" si="1"/>
        <v>25568.483117453346</v>
      </c>
      <c r="H14" s="309">
        <f t="shared" si="1"/>
        <v>26591.22244215148</v>
      </c>
      <c r="I14" s="309">
        <f t="shared" si="1"/>
        <v>27761.236229606147</v>
      </c>
      <c r="J14" s="309">
        <f t="shared" si="1"/>
        <v>29010.491859938422</v>
      </c>
      <c r="K14" s="309">
        <f t="shared" si="1"/>
        <v>30344.97448549559</v>
      </c>
      <c r="L14" s="309">
        <f t="shared" si="1"/>
        <v>31285.66869454595</v>
      </c>
      <c r="M14" s="309">
        <f t="shared" si="1"/>
        <v>32255.524424076873</v>
      </c>
      <c r="N14" s="309">
        <f t="shared" si="1"/>
        <v>33255.44568122325</v>
      </c>
      <c r="O14" s="309">
        <f t="shared" si="1"/>
        <v>34286.36449734117</v>
      </c>
      <c r="P14" s="309">
        <f t="shared" si="1"/>
        <v>35349.241796758746</v>
      </c>
      <c r="Q14" s="309">
        <f t="shared" si="1"/>
        <v>36445.068292458265</v>
      </c>
      <c r="R14" s="309">
        <f t="shared" si="1"/>
        <v>37574.86540952447</v>
      </c>
      <c r="S14" s="309">
        <f t="shared" si="1"/>
        <v>38739.68623721973</v>
      </c>
      <c r="T14" s="309">
        <f t="shared" si="1"/>
        <v>39940.616510573534</v>
      </c>
      <c r="U14" s="309">
        <f t="shared" si="1"/>
        <v>41178.775622401314</v>
      </c>
      <c r="V14" s="309">
        <f aca="true" t="shared" si="2" ref="G14:AA16">U14*(1+U$17)</f>
        <v>42455.31766669575</v>
      </c>
      <c r="W14" s="309">
        <f t="shared" si="2"/>
        <v>43771.43251436332</v>
      </c>
      <c r="X14" s="309">
        <f t="shared" si="2"/>
        <v>45128.34692230858</v>
      </c>
      <c r="Y14" s="309">
        <f t="shared" si="2"/>
        <v>46527.32567690014</v>
      </c>
      <c r="Z14" s="309">
        <f t="shared" si="2"/>
        <v>47969.67277288404</v>
      </c>
      <c r="AA14" s="309">
        <f t="shared" si="2"/>
        <v>49456.73262884344</v>
      </c>
    </row>
    <row r="15" spans="3:27" ht="12.75">
      <c r="C15" s="164" t="s">
        <v>56</v>
      </c>
      <c r="E15" s="309">
        <f>'Pievienotā vērtība'!D74</f>
        <v>10291.221719457013</v>
      </c>
      <c r="F15" s="309">
        <f>E15*(1+E$17)</f>
        <v>10291.221719457013</v>
      </c>
      <c r="G15" s="309">
        <f t="shared" si="2"/>
        <v>10610.24959276018</v>
      </c>
      <c r="H15" s="309">
        <f t="shared" si="2"/>
        <v>11034.659576470587</v>
      </c>
      <c r="I15" s="309">
        <f t="shared" si="2"/>
        <v>11520.184597835294</v>
      </c>
      <c r="J15" s="309">
        <f t="shared" si="2"/>
        <v>12038.592904737881</v>
      </c>
      <c r="K15" s="309">
        <f t="shared" si="2"/>
        <v>12592.368178355824</v>
      </c>
      <c r="L15" s="309">
        <f t="shared" si="2"/>
        <v>12982.731591884854</v>
      </c>
      <c r="M15" s="309">
        <f t="shared" si="2"/>
        <v>13385.196271233284</v>
      </c>
      <c r="N15" s="309">
        <f t="shared" si="2"/>
        <v>13800.137355641515</v>
      </c>
      <c r="O15" s="309">
        <f t="shared" si="2"/>
        <v>14227.9416136664</v>
      </c>
      <c r="P15" s="309">
        <f t="shared" si="2"/>
        <v>14669.007803690058</v>
      </c>
      <c r="Q15" s="309">
        <f t="shared" si="2"/>
        <v>15123.747045604448</v>
      </c>
      <c r="R15" s="309">
        <f t="shared" si="2"/>
        <v>15592.583204018185</v>
      </c>
      <c r="S15" s="309">
        <f t="shared" si="2"/>
        <v>16075.953283342747</v>
      </c>
      <c r="T15" s="309">
        <f t="shared" si="2"/>
        <v>16574.307835126372</v>
      </c>
      <c r="U15" s="309">
        <f t="shared" si="2"/>
        <v>17088.11137801529</v>
      </c>
      <c r="V15" s="309">
        <f t="shared" si="2"/>
        <v>17617.84283073376</v>
      </c>
      <c r="W15" s="309">
        <f t="shared" si="2"/>
        <v>18163.995958486506</v>
      </c>
      <c r="X15" s="309">
        <f t="shared" si="2"/>
        <v>18727.079833199587</v>
      </c>
      <c r="Y15" s="309">
        <f t="shared" si="2"/>
        <v>19307.619308028774</v>
      </c>
      <c r="Z15" s="309">
        <f t="shared" si="2"/>
        <v>19906.155506577663</v>
      </c>
      <c r="AA15" s="309">
        <f t="shared" si="2"/>
        <v>20523.24632728157</v>
      </c>
    </row>
    <row r="16" spans="3:27" ht="12.75">
      <c r="C16" s="164" t="s">
        <v>57</v>
      </c>
      <c r="E16" s="309">
        <f>'Pievienotā vērtība'!E74</f>
        <v>12670.614334470989</v>
      </c>
      <c r="F16" s="309">
        <f>E16*(1+E$17)</f>
        <v>12670.614334470989</v>
      </c>
      <c r="G16" s="309">
        <f t="shared" si="2"/>
        <v>13063.403378839588</v>
      </c>
      <c r="H16" s="309">
        <f t="shared" si="2"/>
        <v>13585.939513993173</v>
      </c>
      <c r="I16" s="309">
        <f t="shared" si="2"/>
        <v>14183.720852608873</v>
      </c>
      <c r="J16" s="309">
        <f t="shared" si="2"/>
        <v>14821.988290976271</v>
      </c>
      <c r="K16" s="309">
        <f t="shared" si="2"/>
        <v>15503.79975236118</v>
      </c>
      <c r="L16" s="309">
        <f t="shared" si="2"/>
        <v>15984.417544684375</v>
      </c>
      <c r="M16" s="309">
        <f t="shared" si="2"/>
        <v>16479.93448856959</v>
      </c>
      <c r="N16" s="309">
        <f t="shared" si="2"/>
        <v>16990.812457715245</v>
      </c>
      <c r="O16" s="309">
        <f t="shared" si="2"/>
        <v>17517.527643904417</v>
      </c>
      <c r="P16" s="309">
        <f t="shared" si="2"/>
        <v>18060.571000865453</v>
      </c>
      <c r="Q16" s="309">
        <f t="shared" si="2"/>
        <v>18620.44870189228</v>
      </c>
      <c r="R16" s="309">
        <f t="shared" si="2"/>
        <v>19197.68261165094</v>
      </c>
      <c r="S16" s="309">
        <f t="shared" si="2"/>
        <v>19792.810772612116</v>
      </c>
      <c r="T16" s="309">
        <f t="shared" si="2"/>
        <v>20406.38790656309</v>
      </c>
      <c r="U16" s="309">
        <f t="shared" si="2"/>
        <v>21038.985931666542</v>
      </c>
      <c r="V16" s="309">
        <f t="shared" si="2"/>
        <v>21691.194495548203</v>
      </c>
      <c r="W16" s="309">
        <f t="shared" si="2"/>
        <v>22363.621524910195</v>
      </c>
      <c r="X16" s="309">
        <f t="shared" si="2"/>
        <v>23056.89379218241</v>
      </c>
      <c r="Y16" s="309">
        <f t="shared" si="2"/>
        <v>23771.657499740064</v>
      </c>
      <c r="Z16" s="309">
        <f t="shared" si="2"/>
        <v>24508.578882232003</v>
      </c>
      <c r="AA16" s="309">
        <f t="shared" si="2"/>
        <v>25268.344827581193</v>
      </c>
    </row>
    <row r="17" spans="3:27" ht="12.75">
      <c r="C17" s="164" t="s">
        <v>305</v>
      </c>
      <c r="E17" s="306"/>
      <c r="F17" s="306">
        <v>0.031</v>
      </c>
      <c r="G17" s="306">
        <v>0.04</v>
      </c>
      <c r="H17" s="306">
        <v>0.044</v>
      </c>
      <c r="I17" s="306">
        <v>0.045</v>
      </c>
      <c r="J17" s="306">
        <v>0.046</v>
      </c>
      <c r="K17" s="306">
        <v>0.031</v>
      </c>
      <c r="L17" s="306">
        <v>0.031</v>
      </c>
      <c r="M17" s="306">
        <v>0.031</v>
      </c>
      <c r="N17" s="306">
        <v>0.031</v>
      </c>
      <c r="O17" s="306">
        <v>0.031</v>
      </c>
      <c r="P17" s="306">
        <v>0.031</v>
      </c>
      <c r="Q17" s="306">
        <v>0.031</v>
      </c>
      <c r="R17" s="306">
        <v>0.031</v>
      </c>
      <c r="S17" s="306">
        <v>0.031</v>
      </c>
      <c r="T17" s="306">
        <v>0.031</v>
      </c>
      <c r="U17" s="306">
        <v>0.031</v>
      </c>
      <c r="V17" s="306">
        <v>0.031</v>
      </c>
      <c r="W17" s="306">
        <v>0.031</v>
      </c>
      <c r="X17" s="306">
        <v>0.031</v>
      </c>
      <c r="Y17" s="306">
        <v>0.031</v>
      </c>
      <c r="Z17" s="306">
        <v>0.031</v>
      </c>
      <c r="AA17" s="306">
        <v>0.031</v>
      </c>
    </row>
    <row r="18" spans="3:27" ht="12.75">
      <c r="C18" s="311"/>
      <c r="E18" s="306"/>
      <c r="F18" s="306"/>
      <c r="G18" s="306"/>
      <c r="H18" s="306"/>
      <c r="I18" s="306"/>
      <c r="J18" s="306"/>
      <c r="K18" s="306"/>
      <c r="L18" s="306"/>
      <c r="M18" s="306"/>
      <c r="N18" s="306"/>
      <c r="O18" s="306"/>
      <c r="P18" s="306"/>
      <c r="Q18" s="306"/>
      <c r="R18" s="306"/>
      <c r="S18" s="306"/>
      <c r="T18" s="306"/>
      <c r="U18" s="306"/>
      <c r="V18" s="306"/>
      <c r="W18" s="306"/>
      <c r="X18" s="306"/>
      <c r="Y18" s="306"/>
      <c r="Z18" s="306"/>
      <c r="AA18" s="306"/>
    </row>
    <row r="19" s="206" customFormat="1" ht="12.75">
      <c r="C19" s="206" t="s">
        <v>290</v>
      </c>
    </row>
    <row r="20" s="214" customFormat="1" ht="12.75">
      <c r="C20" s="214" t="s">
        <v>276</v>
      </c>
    </row>
    <row r="21" ht="12.75">
      <c r="C21" s="175" t="s">
        <v>310</v>
      </c>
    </row>
    <row r="22" spans="3:11" ht="12.75">
      <c r="C22" s="207"/>
      <c r="H22" s="542" t="s">
        <v>273</v>
      </c>
      <c r="I22" s="542"/>
      <c r="J22" s="542"/>
      <c r="K22" s="542"/>
    </row>
    <row r="23" spans="3:27" ht="12.75">
      <c r="C23" s="174" t="str">
        <f>C59</f>
        <v>Izglītības tematiskā joma „mākslas” (radošās industrijas): izglītības klasifikācijas koda 3. un 4.cipars: 21</v>
      </c>
      <c r="D23" s="152" t="s">
        <v>152</v>
      </c>
      <c r="H23" s="210"/>
      <c r="I23" s="210"/>
      <c r="J23" s="210"/>
      <c r="K23" s="210"/>
      <c r="L23" s="152">
        <f>2!L133</f>
        <v>0</v>
      </c>
      <c r="M23" s="152">
        <f>2!M133</f>
        <v>0</v>
      </c>
      <c r="N23" s="152">
        <f>2!N133</f>
        <v>0</v>
      </c>
      <c r="O23" s="152">
        <f>2!O133</f>
        <v>0</v>
      </c>
      <c r="P23" s="152">
        <f>2!P133</f>
        <v>0</v>
      </c>
      <c r="Q23" s="152">
        <f>2!Q133</f>
        <v>0</v>
      </c>
      <c r="R23" s="152">
        <f>2!R133</f>
        <v>0</v>
      </c>
      <c r="S23" s="152">
        <f>2!S133</f>
        <v>0</v>
      </c>
      <c r="T23" s="152">
        <f>2!T133</f>
        <v>0</v>
      </c>
      <c r="U23" s="152">
        <f>2!U133</f>
        <v>0</v>
      </c>
      <c r="V23" s="152">
        <f>2!V133</f>
        <v>0</v>
      </c>
      <c r="W23" s="152">
        <f>2!W133</f>
        <v>0</v>
      </c>
      <c r="X23" s="152">
        <f>2!X133</f>
        <v>0</v>
      </c>
      <c r="Y23" s="152">
        <f>2!Y133</f>
        <v>0</v>
      </c>
      <c r="Z23" s="152">
        <f>2!Z133</f>
        <v>0</v>
      </c>
      <c r="AA23" s="152">
        <f>2!AA133</f>
        <v>0</v>
      </c>
    </row>
    <row r="24" spans="3:27" ht="12.75">
      <c r="C24" s="174" t="str">
        <f>C60</f>
        <v>Izglītības programmu grupas ar šādu izglītības klasifikācijas koda 3., 4. un 5.ciparu: “521”; “522”; “523”; “524”; “525”; “541”; “542”; “543”; “545” vai “582”:  </v>
      </c>
      <c r="D24" s="152" t="s">
        <v>152</v>
      </c>
      <c r="H24" s="210"/>
      <c r="I24" s="210"/>
      <c r="J24" s="210"/>
      <c r="K24" s="210"/>
      <c r="L24" s="152">
        <f>2!L134</f>
        <v>0</v>
      </c>
      <c r="M24" s="152">
        <f>2!M134</f>
        <v>0</v>
      </c>
      <c r="N24" s="152">
        <f>2!N134</f>
        <v>0</v>
      </c>
      <c r="O24" s="152">
        <f>2!O134</f>
        <v>0</v>
      </c>
      <c r="P24" s="152">
        <f>2!P134</f>
        <v>0</v>
      </c>
      <c r="Q24" s="152">
        <f>2!Q134</f>
        <v>0</v>
      </c>
      <c r="R24" s="152">
        <f>2!R134</f>
        <v>0</v>
      </c>
      <c r="S24" s="152">
        <f>2!S134</f>
        <v>0</v>
      </c>
      <c r="T24" s="152">
        <f>2!T134</f>
        <v>0</v>
      </c>
      <c r="U24" s="152">
        <f>2!U134</f>
        <v>0</v>
      </c>
      <c r="V24" s="152">
        <f>2!V134</f>
        <v>0</v>
      </c>
      <c r="W24" s="152">
        <f>2!W134</f>
        <v>0</v>
      </c>
      <c r="X24" s="152">
        <f>2!X134</f>
        <v>0</v>
      </c>
      <c r="Y24" s="152">
        <f>2!Y134</f>
        <v>0</v>
      </c>
      <c r="Z24" s="152">
        <f>2!Z134</f>
        <v>0</v>
      </c>
      <c r="AA24" s="152">
        <f>2!AA134</f>
        <v>0</v>
      </c>
    </row>
    <row r="25" spans="3:27" ht="12.75">
      <c r="C25" s="174" t="str">
        <f>C61</f>
        <v>Izglītības programmu grupa  "lauksaimniecība", "mežsaimniecība", "zivjsaimniecība" vai "veterinārija" (izglītības klasifikācijas koda 3. un 4.cipars "62" vai "64")  </v>
      </c>
      <c r="D25" s="152" t="s">
        <v>152</v>
      </c>
      <c r="H25" s="210"/>
      <c r="I25" s="210"/>
      <c r="J25" s="210"/>
      <c r="K25" s="210"/>
      <c r="L25" s="152">
        <f>2!L135</f>
        <v>0</v>
      </c>
      <c r="M25" s="152">
        <f>2!M135</f>
        <v>0</v>
      </c>
      <c r="N25" s="152">
        <f>2!N135</f>
        <v>0</v>
      </c>
      <c r="O25" s="152">
        <f>2!O135</f>
        <v>0</v>
      </c>
      <c r="P25" s="152">
        <f>2!P135</f>
        <v>0</v>
      </c>
      <c r="Q25" s="152">
        <f>2!Q135</f>
        <v>0</v>
      </c>
      <c r="R25" s="152">
        <f>2!R135</f>
        <v>0</v>
      </c>
      <c r="S25" s="152">
        <f>2!S135</f>
        <v>0</v>
      </c>
      <c r="T25" s="152">
        <f>2!T135</f>
        <v>0</v>
      </c>
      <c r="U25" s="152">
        <f>2!U135</f>
        <v>0</v>
      </c>
      <c r="V25" s="152">
        <f>2!V135</f>
        <v>0</v>
      </c>
      <c r="W25" s="152">
        <f>2!W135</f>
        <v>0</v>
      </c>
      <c r="X25" s="152">
        <f>2!X135</f>
        <v>0</v>
      </c>
      <c r="Y25" s="152">
        <f>2!Y135</f>
        <v>0</v>
      </c>
      <c r="Z25" s="152">
        <f>2!Z135</f>
        <v>0</v>
      </c>
      <c r="AA25" s="152">
        <f>2!AA135</f>
        <v>0</v>
      </c>
    </row>
    <row r="26" spans="3:27" ht="12.75">
      <c r="C26" s="174" t="str">
        <f>C62</f>
        <v>Izglītības programmu grupa: "viesnīcu un restorānu paklapojumi"  ,  "tūrisma un atpūtas organizācija" (izglītības klasifikācijas koda 3., 4. un 5.cipars "811"  vai "812") </v>
      </c>
      <c r="D26" s="152" t="s">
        <v>152</v>
      </c>
      <c r="H26" s="210"/>
      <c r="I26" s="210"/>
      <c r="J26" s="210"/>
      <c r="K26" s="210"/>
      <c r="L26" s="152">
        <f>2!L136</f>
        <v>0</v>
      </c>
      <c r="M26" s="152">
        <f>2!M136</f>
        <v>0</v>
      </c>
      <c r="N26" s="152">
        <f>2!N136</f>
        <v>0</v>
      </c>
      <c r="O26" s="152">
        <f>2!O136</f>
        <v>0</v>
      </c>
      <c r="P26" s="152">
        <f>2!P136</f>
        <v>0</v>
      </c>
      <c r="Q26" s="152">
        <f>2!Q136</f>
        <v>0</v>
      </c>
      <c r="R26" s="152">
        <f>2!R136</f>
        <v>0</v>
      </c>
      <c r="S26" s="152">
        <f>2!S136</f>
        <v>0</v>
      </c>
      <c r="T26" s="152">
        <f>2!T136</f>
        <v>0</v>
      </c>
      <c r="U26" s="152">
        <f>2!U136</f>
        <v>0</v>
      </c>
      <c r="V26" s="152">
        <f>2!V136</f>
        <v>0</v>
      </c>
      <c r="W26" s="152">
        <f>2!W136</f>
        <v>0</v>
      </c>
      <c r="X26" s="152">
        <f>2!X136</f>
        <v>0</v>
      </c>
      <c r="Y26" s="152">
        <f>2!Y136</f>
        <v>0</v>
      </c>
      <c r="Z26" s="152">
        <f>2!Z136</f>
        <v>0</v>
      </c>
      <c r="AA26" s="152">
        <f>2!AA136</f>
        <v>0</v>
      </c>
    </row>
    <row r="27" spans="3:27" ht="12.75">
      <c r="C27" s="217" t="s">
        <v>21</v>
      </c>
      <c r="D27" s="152" t="s">
        <v>152</v>
      </c>
      <c r="L27" s="152">
        <f>2!L137</f>
        <v>0</v>
      </c>
      <c r="M27" s="152">
        <f>2!M137</f>
        <v>0</v>
      </c>
      <c r="N27" s="152">
        <f>2!N137</f>
        <v>0</v>
      </c>
      <c r="O27" s="152">
        <f>2!O137</f>
        <v>0</v>
      </c>
      <c r="P27" s="152">
        <f>2!P137</f>
        <v>0</v>
      </c>
      <c r="Q27" s="152">
        <f>2!Q137</f>
        <v>0</v>
      </c>
      <c r="R27" s="152">
        <f>2!R137</f>
        <v>0</v>
      </c>
      <c r="S27" s="152">
        <f>2!S137</f>
        <v>0</v>
      </c>
      <c r="T27" s="152">
        <f>2!T137</f>
        <v>0</v>
      </c>
      <c r="U27" s="152">
        <f>2!U137</f>
        <v>0</v>
      </c>
      <c r="V27" s="152">
        <f>2!V137</f>
        <v>0</v>
      </c>
      <c r="W27" s="152">
        <f>2!W137</f>
        <v>0</v>
      </c>
      <c r="X27" s="152">
        <f>2!X137</f>
        <v>0</v>
      </c>
      <c r="Y27" s="152">
        <f>2!Y137</f>
        <v>0</v>
      </c>
      <c r="Z27" s="152">
        <f>2!Z137</f>
        <v>0</v>
      </c>
      <c r="AA27" s="152">
        <f>2!AA137</f>
        <v>0</v>
      </c>
    </row>
    <row r="28" spans="20:27" ht="12.75">
      <c r="T28" s="215"/>
      <c r="U28" s="215"/>
      <c r="V28" s="215"/>
      <c r="W28" s="215"/>
      <c r="X28" s="215"/>
      <c r="Y28" s="215"/>
      <c r="Z28" s="215"/>
      <c r="AA28" s="215"/>
    </row>
    <row r="29" spans="3:27" ht="12.75">
      <c r="C29" s="175" t="s">
        <v>311</v>
      </c>
      <c r="T29" s="215"/>
      <c r="U29" s="215"/>
      <c r="V29" s="215"/>
      <c r="W29" s="215"/>
      <c r="X29" s="215"/>
      <c r="Y29" s="215"/>
      <c r="Z29" s="215"/>
      <c r="AA29" s="215"/>
    </row>
    <row r="30" spans="3:27" ht="12.75">
      <c r="C30" s="207"/>
      <c r="H30" s="542" t="s">
        <v>273</v>
      </c>
      <c r="I30" s="542"/>
      <c r="J30" s="542"/>
      <c r="K30" s="542"/>
      <c r="T30" s="215"/>
      <c r="U30" s="215"/>
      <c r="V30" s="215"/>
      <c r="W30" s="215"/>
      <c r="X30" s="215"/>
      <c r="Y30" s="215"/>
      <c r="Z30" s="215"/>
      <c r="AA30" s="215"/>
    </row>
    <row r="31" spans="3:27" ht="12.75">
      <c r="C31" s="174" t="str">
        <f>C59</f>
        <v>Izglītības tematiskā joma „mākslas” (radošās industrijas): izglītības klasifikācijas koda 3. un 4.cipars: 21</v>
      </c>
      <c r="D31" s="152" t="s">
        <v>152</v>
      </c>
      <c r="H31" s="210"/>
      <c r="I31" s="210"/>
      <c r="J31" s="210"/>
      <c r="K31" s="210"/>
      <c r="L31" s="152">
        <f>2!L141</f>
        <v>0</v>
      </c>
      <c r="M31" s="152">
        <f>2!M141</f>
        <v>0</v>
      </c>
      <c r="N31" s="152">
        <f>2!N141</f>
        <v>0</v>
      </c>
      <c r="O31" s="152">
        <f>2!O141</f>
        <v>0</v>
      </c>
      <c r="P31" s="152">
        <f>2!P141</f>
        <v>0</v>
      </c>
      <c r="Q31" s="152">
        <f>2!Q141</f>
        <v>0</v>
      </c>
      <c r="R31" s="152">
        <f>2!R141</f>
        <v>0</v>
      </c>
      <c r="S31" s="152">
        <f>2!S141</f>
        <v>0</v>
      </c>
      <c r="T31" s="152">
        <f>2!T141</f>
        <v>0</v>
      </c>
      <c r="U31" s="152">
        <f>2!U141</f>
        <v>0</v>
      </c>
      <c r="V31" s="152">
        <f>2!V141</f>
        <v>0</v>
      </c>
      <c r="W31" s="152">
        <f>2!W141</f>
        <v>0</v>
      </c>
      <c r="X31" s="152">
        <f>2!X141</f>
        <v>0</v>
      </c>
      <c r="Y31" s="152">
        <f>2!Y141</f>
        <v>0</v>
      </c>
      <c r="Z31" s="152">
        <f>2!Z141</f>
        <v>0</v>
      </c>
      <c r="AA31" s="152">
        <f>2!AA141</f>
        <v>0</v>
      </c>
    </row>
    <row r="32" spans="3:27" ht="12.75">
      <c r="C32" s="174" t="str">
        <f>C60</f>
        <v>Izglītības programmu grupas ar šādu izglītības klasifikācijas koda 3., 4. un 5.ciparu: “521”; “522”; “523”; “524”; “525”; “541”; “542”; “543”; “545” vai “582”:  </v>
      </c>
      <c r="D32" s="152" t="s">
        <v>152</v>
      </c>
      <c r="H32" s="210"/>
      <c r="I32" s="210"/>
      <c r="J32" s="210"/>
      <c r="K32" s="210"/>
      <c r="L32" s="152">
        <f>2!L142</f>
        <v>0</v>
      </c>
      <c r="M32" s="152">
        <f>2!M142</f>
        <v>0</v>
      </c>
      <c r="N32" s="152">
        <f>2!N142</f>
        <v>0</v>
      </c>
      <c r="O32" s="152">
        <f>2!O142</f>
        <v>0</v>
      </c>
      <c r="P32" s="152">
        <f>2!P142</f>
        <v>0</v>
      </c>
      <c r="Q32" s="152">
        <f>2!Q142</f>
        <v>0</v>
      </c>
      <c r="R32" s="152">
        <f>2!R142</f>
        <v>0</v>
      </c>
      <c r="S32" s="152">
        <f>2!S142</f>
        <v>0</v>
      </c>
      <c r="T32" s="152">
        <f>2!T142</f>
        <v>0</v>
      </c>
      <c r="U32" s="152">
        <f>2!U142</f>
        <v>0</v>
      </c>
      <c r="V32" s="152">
        <f>2!V142</f>
        <v>0</v>
      </c>
      <c r="W32" s="152">
        <f>2!W142</f>
        <v>0</v>
      </c>
      <c r="X32" s="152">
        <f>2!X142</f>
        <v>0</v>
      </c>
      <c r="Y32" s="152">
        <f>2!Y142</f>
        <v>0</v>
      </c>
      <c r="Z32" s="152">
        <f>2!Z142</f>
        <v>0</v>
      </c>
      <c r="AA32" s="152">
        <f>2!AA142</f>
        <v>0</v>
      </c>
    </row>
    <row r="33" spans="3:27" ht="12.75">
      <c r="C33" s="174" t="str">
        <f>C61</f>
        <v>Izglītības programmu grupa  "lauksaimniecība", "mežsaimniecība", "zivjsaimniecība" vai "veterinārija" (izglītības klasifikācijas koda 3. un 4.cipars "62" vai "64")  </v>
      </c>
      <c r="D33" s="152" t="s">
        <v>152</v>
      </c>
      <c r="H33" s="210"/>
      <c r="I33" s="210"/>
      <c r="J33" s="210"/>
      <c r="K33" s="210"/>
      <c r="L33" s="152">
        <f>2!L143</f>
        <v>0</v>
      </c>
      <c r="M33" s="152">
        <f>2!M143</f>
        <v>0</v>
      </c>
      <c r="N33" s="152">
        <f>2!N143</f>
        <v>0</v>
      </c>
      <c r="O33" s="152">
        <f>2!O143</f>
        <v>0</v>
      </c>
      <c r="P33" s="152">
        <f>2!P143</f>
        <v>0</v>
      </c>
      <c r="Q33" s="152">
        <f>2!Q143</f>
        <v>0</v>
      </c>
      <c r="R33" s="152">
        <f>2!R143</f>
        <v>0</v>
      </c>
      <c r="S33" s="152">
        <f>2!S143</f>
        <v>0</v>
      </c>
      <c r="T33" s="152">
        <f>2!T143</f>
        <v>0</v>
      </c>
      <c r="U33" s="152">
        <f>2!U143</f>
        <v>0</v>
      </c>
      <c r="V33" s="152">
        <f>2!V143</f>
        <v>0</v>
      </c>
      <c r="W33" s="152">
        <f>2!W143</f>
        <v>0</v>
      </c>
      <c r="X33" s="152">
        <f>2!X143</f>
        <v>0</v>
      </c>
      <c r="Y33" s="152">
        <f>2!Y143</f>
        <v>0</v>
      </c>
      <c r="Z33" s="152">
        <f>2!Z143</f>
        <v>0</v>
      </c>
      <c r="AA33" s="152">
        <f>2!AA143</f>
        <v>0</v>
      </c>
    </row>
    <row r="34" spans="3:27" ht="12.75">
      <c r="C34" s="174" t="str">
        <f>C62</f>
        <v>Izglītības programmu grupa: "viesnīcu un restorānu paklapojumi"  ,  "tūrisma un atpūtas organizācija" (izglītības klasifikācijas koda 3., 4. un 5.cipars "811"  vai "812") </v>
      </c>
      <c r="D34" s="152" t="s">
        <v>152</v>
      </c>
      <c r="H34" s="210"/>
      <c r="I34" s="210"/>
      <c r="J34" s="210"/>
      <c r="K34" s="210"/>
      <c r="L34" s="152">
        <f>2!L144</f>
        <v>0</v>
      </c>
      <c r="M34" s="152">
        <f>2!M144</f>
        <v>0</v>
      </c>
      <c r="N34" s="152">
        <f>2!N144</f>
        <v>0</v>
      </c>
      <c r="O34" s="152">
        <f>2!O144</f>
        <v>0</v>
      </c>
      <c r="P34" s="152">
        <f>2!P144</f>
        <v>0</v>
      </c>
      <c r="Q34" s="152">
        <f>2!Q144</f>
        <v>0</v>
      </c>
      <c r="R34" s="152">
        <f>2!R144</f>
        <v>0</v>
      </c>
      <c r="S34" s="152">
        <f>2!S144</f>
        <v>0</v>
      </c>
      <c r="T34" s="152">
        <f>2!T144</f>
        <v>0</v>
      </c>
      <c r="U34" s="152">
        <f>2!U144</f>
        <v>0</v>
      </c>
      <c r="V34" s="152">
        <f>2!V144</f>
        <v>0</v>
      </c>
      <c r="W34" s="152">
        <f>2!W144</f>
        <v>0</v>
      </c>
      <c r="X34" s="152">
        <f>2!X144</f>
        <v>0</v>
      </c>
      <c r="Y34" s="152">
        <f>2!Y144</f>
        <v>0</v>
      </c>
      <c r="Z34" s="152">
        <f>2!Z144</f>
        <v>0</v>
      </c>
      <c r="AA34" s="152">
        <f>2!AA144</f>
        <v>0</v>
      </c>
    </row>
    <row r="35" spans="3:27" ht="12.75">
      <c r="C35" s="217" t="s">
        <v>21</v>
      </c>
      <c r="D35" s="152" t="s">
        <v>152</v>
      </c>
      <c r="L35" s="152">
        <f>2!L145</f>
        <v>0</v>
      </c>
      <c r="M35" s="152">
        <f>2!M145</f>
        <v>0</v>
      </c>
      <c r="N35" s="152">
        <f>2!N145</f>
        <v>0</v>
      </c>
      <c r="O35" s="152">
        <f>2!O145</f>
        <v>0</v>
      </c>
      <c r="P35" s="152">
        <f>2!P145</f>
        <v>0</v>
      </c>
      <c r="Q35" s="152">
        <f>2!Q145</f>
        <v>0</v>
      </c>
      <c r="R35" s="152">
        <f>2!R145</f>
        <v>0</v>
      </c>
      <c r="S35" s="152">
        <f>2!S145</f>
        <v>0</v>
      </c>
      <c r="T35" s="152">
        <f>2!T145</f>
        <v>0</v>
      </c>
      <c r="U35" s="152">
        <f>2!U145</f>
        <v>0</v>
      </c>
      <c r="V35" s="152">
        <f>2!V145</f>
        <v>0</v>
      </c>
      <c r="W35" s="152">
        <f>2!W145</f>
        <v>0</v>
      </c>
      <c r="X35" s="152">
        <f>2!X145</f>
        <v>0</v>
      </c>
      <c r="Y35" s="152">
        <f>2!Y145</f>
        <v>0</v>
      </c>
      <c r="Z35" s="152">
        <f>2!Z145</f>
        <v>0</v>
      </c>
      <c r="AA35" s="152">
        <f>2!AA145</f>
        <v>0</v>
      </c>
    </row>
    <row r="37" s="214" customFormat="1" ht="12.75">
      <c r="C37" s="214" t="s">
        <v>277</v>
      </c>
    </row>
    <row r="38" ht="12.75">
      <c r="C38" s="175" t="s">
        <v>274</v>
      </c>
    </row>
    <row r="39" spans="3:14" ht="12.75">
      <c r="C39" s="207"/>
      <c r="H39" s="542" t="s">
        <v>273</v>
      </c>
      <c r="I39" s="542"/>
      <c r="J39" s="542"/>
      <c r="K39" s="542"/>
      <c r="L39" s="542" t="s">
        <v>272</v>
      </c>
      <c r="M39" s="542"/>
      <c r="N39" s="542"/>
    </row>
    <row r="40" spans="3:27" ht="12.75">
      <c r="C40" s="174" t="str">
        <f>C59</f>
        <v>Izglītības tematiskā joma „mākslas” (radošās industrijas): izglītības klasifikācijas koda 3. un 4.cipars: 21</v>
      </c>
      <c r="D40" s="152" t="s">
        <v>152</v>
      </c>
      <c r="H40" s="210"/>
      <c r="I40" s="210"/>
      <c r="J40" s="210"/>
      <c r="K40" s="210"/>
      <c r="L40" s="211"/>
      <c r="M40" s="212"/>
      <c r="N40" s="212"/>
      <c r="O40" s="152">
        <f>2!O150</f>
        <v>0</v>
      </c>
      <c r="P40" s="152">
        <f>2!P150</f>
        <v>0</v>
      </c>
      <c r="Q40" s="152">
        <f>2!Q150</f>
        <v>0</v>
      </c>
      <c r="R40" s="152">
        <f>2!R150</f>
        <v>0</v>
      </c>
      <c r="S40" s="152">
        <f>2!S150</f>
        <v>0</v>
      </c>
      <c r="T40" s="152">
        <f>2!T150</f>
        <v>0</v>
      </c>
      <c r="U40" s="152">
        <f>2!U150</f>
        <v>0</v>
      </c>
      <c r="V40" s="152">
        <f>2!V150</f>
        <v>0</v>
      </c>
      <c r="W40" s="152">
        <f>2!W150</f>
        <v>0</v>
      </c>
      <c r="X40" s="152">
        <f>2!X150</f>
        <v>0</v>
      </c>
      <c r="Y40" s="152">
        <f>2!Y150</f>
        <v>0</v>
      </c>
      <c r="Z40" s="152">
        <f>2!Z150</f>
        <v>0</v>
      </c>
      <c r="AA40" s="152">
        <f>2!AA150</f>
        <v>0</v>
      </c>
    </row>
    <row r="41" spans="3:27" ht="12.75">
      <c r="C41" s="174" t="str">
        <f>C60</f>
        <v>Izglītības programmu grupas ar šādu izglītības klasifikācijas koda 3., 4. un 5.ciparu: “521”; “522”; “523”; “524”; “525”; “541”; “542”; “543”; “545” vai “582”:  </v>
      </c>
      <c r="D41" s="152" t="s">
        <v>152</v>
      </c>
      <c r="H41" s="210"/>
      <c r="I41" s="210"/>
      <c r="J41" s="210"/>
      <c r="K41" s="210"/>
      <c r="L41" s="211"/>
      <c r="M41" s="212"/>
      <c r="N41" s="212"/>
      <c r="O41" s="152">
        <f>2!O151</f>
        <v>0</v>
      </c>
      <c r="P41" s="152">
        <f>2!P151</f>
        <v>0</v>
      </c>
      <c r="Q41" s="152">
        <f>2!Q151</f>
        <v>0</v>
      </c>
      <c r="R41" s="152">
        <f>2!R151</f>
        <v>0</v>
      </c>
      <c r="S41" s="152">
        <f>2!S151</f>
        <v>0</v>
      </c>
      <c r="T41" s="152">
        <f>2!T151</f>
        <v>0</v>
      </c>
      <c r="U41" s="152">
        <f>2!U151</f>
        <v>0</v>
      </c>
      <c r="V41" s="152">
        <f>2!V151</f>
        <v>0</v>
      </c>
      <c r="W41" s="152">
        <f>2!W151</f>
        <v>0</v>
      </c>
      <c r="X41" s="152">
        <f>2!X151</f>
        <v>0</v>
      </c>
      <c r="Y41" s="152">
        <f>2!Y151</f>
        <v>0</v>
      </c>
      <c r="Z41" s="152">
        <f>2!Z151</f>
        <v>0</v>
      </c>
      <c r="AA41" s="152">
        <f>2!AA151</f>
        <v>0</v>
      </c>
    </row>
    <row r="42" spans="3:27" ht="12.75">
      <c r="C42" s="174" t="str">
        <f>C61</f>
        <v>Izglītības programmu grupa  "lauksaimniecība", "mežsaimniecība", "zivjsaimniecība" vai "veterinārija" (izglītības klasifikācijas koda 3. un 4.cipars "62" vai "64")  </v>
      </c>
      <c r="D42" s="152" t="s">
        <v>152</v>
      </c>
      <c r="H42" s="210"/>
      <c r="I42" s="210"/>
      <c r="J42" s="210"/>
      <c r="K42" s="210"/>
      <c r="L42" s="211"/>
      <c r="M42" s="212"/>
      <c r="N42" s="212"/>
      <c r="O42" s="152">
        <f>2!O152</f>
        <v>0</v>
      </c>
      <c r="P42" s="152">
        <f>2!P152</f>
        <v>0</v>
      </c>
      <c r="Q42" s="152">
        <f>2!Q152</f>
        <v>0</v>
      </c>
      <c r="R42" s="152">
        <f>2!R152</f>
        <v>0</v>
      </c>
      <c r="S42" s="152">
        <f>2!S152</f>
        <v>0</v>
      </c>
      <c r="T42" s="152">
        <f>2!T152</f>
        <v>0</v>
      </c>
      <c r="U42" s="152">
        <f>2!U152</f>
        <v>0</v>
      </c>
      <c r="V42" s="152">
        <f>2!V152</f>
        <v>0</v>
      </c>
      <c r="W42" s="152">
        <f>2!W152</f>
        <v>0</v>
      </c>
      <c r="X42" s="152">
        <f>2!X152</f>
        <v>0</v>
      </c>
      <c r="Y42" s="152">
        <f>2!Y152</f>
        <v>0</v>
      </c>
      <c r="Z42" s="152">
        <f>2!Z152</f>
        <v>0</v>
      </c>
      <c r="AA42" s="152">
        <f>2!AA152</f>
        <v>0</v>
      </c>
    </row>
    <row r="43" spans="3:27" ht="12.75">
      <c r="C43" s="174" t="str">
        <f>C62</f>
        <v>Izglītības programmu grupa: "viesnīcu un restorānu paklapojumi"  ,  "tūrisma un atpūtas organizācija" (izglītības klasifikācijas koda 3., 4. un 5.cipars "811"  vai "812") </v>
      </c>
      <c r="D43" s="152" t="s">
        <v>152</v>
      </c>
      <c r="H43" s="210"/>
      <c r="I43" s="210"/>
      <c r="J43" s="210"/>
      <c r="K43" s="210"/>
      <c r="L43" s="211"/>
      <c r="M43" s="212"/>
      <c r="N43" s="212"/>
      <c r="O43" s="152">
        <f>2!O153</f>
        <v>0</v>
      </c>
      <c r="P43" s="152">
        <f>2!P153</f>
        <v>0</v>
      </c>
      <c r="Q43" s="152">
        <f>2!Q153</f>
        <v>0</v>
      </c>
      <c r="R43" s="152">
        <f>2!R153</f>
        <v>0</v>
      </c>
      <c r="S43" s="152">
        <f>2!S153</f>
        <v>0</v>
      </c>
      <c r="T43" s="152">
        <f>2!T153</f>
        <v>0</v>
      </c>
      <c r="U43" s="152">
        <f>2!U153</f>
        <v>0</v>
      </c>
      <c r="V43" s="152">
        <f>2!V153</f>
        <v>0</v>
      </c>
      <c r="W43" s="152">
        <f>2!W153</f>
        <v>0</v>
      </c>
      <c r="X43" s="152">
        <f>2!X153</f>
        <v>0</v>
      </c>
      <c r="Y43" s="152">
        <f>2!Y153</f>
        <v>0</v>
      </c>
      <c r="Z43" s="152">
        <f>2!Z153</f>
        <v>0</v>
      </c>
      <c r="AA43" s="152">
        <f>2!AA153</f>
        <v>0</v>
      </c>
    </row>
    <row r="44" spans="3:28" ht="12.75">
      <c r="C44" s="217" t="s">
        <v>21</v>
      </c>
      <c r="L44" s="215"/>
      <c r="M44" s="215"/>
      <c r="O44" s="152">
        <f>2!O154</f>
        <v>0</v>
      </c>
      <c r="P44" s="152">
        <f>2!P154</f>
        <v>0</v>
      </c>
      <c r="Q44" s="152">
        <f>2!Q154</f>
        <v>0</v>
      </c>
      <c r="R44" s="152">
        <f>2!R154</f>
        <v>0</v>
      </c>
      <c r="S44" s="152">
        <f>2!S154</f>
        <v>0</v>
      </c>
      <c r="T44" s="152">
        <f>2!T154</f>
        <v>0</v>
      </c>
      <c r="U44" s="152">
        <f>2!U154</f>
        <v>0</v>
      </c>
      <c r="V44" s="152">
        <f>2!V154</f>
        <v>0</v>
      </c>
      <c r="W44" s="152">
        <f>2!W154</f>
        <v>0</v>
      </c>
      <c r="X44" s="152">
        <f>2!X154</f>
        <v>0</v>
      </c>
      <c r="Y44" s="152">
        <f>2!Y154</f>
        <v>0</v>
      </c>
      <c r="Z44" s="152">
        <f>2!Z154</f>
        <v>0</v>
      </c>
      <c r="AA44" s="152">
        <f>2!AA154</f>
        <v>0</v>
      </c>
      <c r="AB44" s="215"/>
    </row>
    <row r="46" ht="12.75">
      <c r="C46" s="175" t="s">
        <v>275</v>
      </c>
    </row>
    <row r="47" spans="3:14" ht="12.75">
      <c r="C47" s="207"/>
      <c r="H47" s="542" t="s">
        <v>273</v>
      </c>
      <c r="I47" s="542"/>
      <c r="J47" s="542"/>
      <c r="K47" s="542"/>
      <c r="L47" s="542" t="s">
        <v>272</v>
      </c>
      <c r="M47" s="542"/>
      <c r="N47" s="542"/>
    </row>
    <row r="48" spans="3:27" ht="12.75">
      <c r="C48" s="174" t="str">
        <f>C59</f>
        <v>Izglītības tematiskā joma „mākslas” (radošās industrijas): izglītības klasifikācijas koda 3. un 4.cipars: 21</v>
      </c>
      <c r="D48" s="152" t="s">
        <v>152</v>
      </c>
      <c r="H48" s="210"/>
      <c r="I48" s="210"/>
      <c r="J48" s="210"/>
      <c r="K48" s="210"/>
      <c r="L48" s="211"/>
      <c r="M48" s="212"/>
      <c r="N48" s="212"/>
      <c r="O48" s="152">
        <f>2!O158</f>
        <v>0</v>
      </c>
      <c r="P48" s="152">
        <f>2!P158</f>
        <v>0</v>
      </c>
      <c r="Q48" s="152">
        <f>2!Q158</f>
        <v>0</v>
      </c>
      <c r="R48" s="152">
        <f>2!R158</f>
        <v>0</v>
      </c>
      <c r="S48" s="152">
        <f>2!S158</f>
        <v>0</v>
      </c>
      <c r="T48" s="152">
        <f>2!T158</f>
        <v>0</v>
      </c>
      <c r="U48" s="152">
        <f>2!U158</f>
        <v>0</v>
      </c>
      <c r="V48" s="152">
        <f>2!V158</f>
        <v>0</v>
      </c>
      <c r="W48" s="152">
        <f>2!W158</f>
        <v>0</v>
      </c>
      <c r="X48" s="152">
        <f>2!X158</f>
        <v>0</v>
      </c>
      <c r="Y48" s="152">
        <f>2!Y158</f>
        <v>0</v>
      </c>
      <c r="Z48" s="152">
        <f>2!Z158</f>
        <v>0</v>
      </c>
      <c r="AA48" s="152">
        <f>2!AA158</f>
        <v>0</v>
      </c>
    </row>
    <row r="49" spans="3:27" ht="12.75">
      <c r="C49" s="174" t="str">
        <f>C60</f>
        <v>Izglītības programmu grupas ar šādu izglītības klasifikācijas koda 3., 4. un 5.ciparu: “521”; “522”; “523”; “524”; “525”; “541”; “542”; “543”; “545” vai “582”:  </v>
      </c>
      <c r="D49" s="152" t="s">
        <v>152</v>
      </c>
      <c r="H49" s="210"/>
      <c r="I49" s="210"/>
      <c r="J49" s="210"/>
      <c r="K49" s="210"/>
      <c r="L49" s="211"/>
      <c r="M49" s="212"/>
      <c r="N49" s="212"/>
      <c r="O49" s="152">
        <f>2!O159</f>
        <v>0</v>
      </c>
      <c r="P49" s="152">
        <f>2!P159</f>
        <v>0</v>
      </c>
      <c r="Q49" s="152">
        <f>2!Q159</f>
        <v>0</v>
      </c>
      <c r="R49" s="152">
        <f>2!R159</f>
        <v>0</v>
      </c>
      <c r="S49" s="152">
        <f>2!S159</f>
        <v>0</v>
      </c>
      <c r="T49" s="152">
        <f>2!T159</f>
        <v>0</v>
      </c>
      <c r="U49" s="152">
        <f>2!U159</f>
        <v>0</v>
      </c>
      <c r="V49" s="152">
        <f>2!V159</f>
        <v>0</v>
      </c>
      <c r="W49" s="152">
        <f>2!W159</f>
        <v>0</v>
      </c>
      <c r="X49" s="152">
        <f>2!X159</f>
        <v>0</v>
      </c>
      <c r="Y49" s="152">
        <f>2!Y159</f>
        <v>0</v>
      </c>
      <c r="Z49" s="152">
        <f>2!Z159</f>
        <v>0</v>
      </c>
      <c r="AA49" s="152">
        <f>2!AA159</f>
        <v>0</v>
      </c>
    </row>
    <row r="50" spans="3:27" ht="12.75">
      <c r="C50" s="174" t="str">
        <f>C61</f>
        <v>Izglītības programmu grupa  "lauksaimniecība", "mežsaimniecība", "zivjsaimniecība" vai "veterinārija" (izglītības klasifikācijas koda 3. un 4.cipars "62" vai "64")  </v>
      </c>
      <c r="D50" s="152" t="s">
        <v>152</v>
      </c>
      <c r="H50" s="210"/>
      <c r="I50" s="210"/>
      <c r="J50" s="210"/>
      <c r="K50" s="210"/>
      <c r="L50" s="211"/>
      <c r="M50" s="212"/>
      <c r="N50" s="212"/>
      <c r="O50" s="152">
        <f>2!O160</f>
        <v>0</v>
      </c>
      <c r="P50" s="152">
        <f>2!P160</f>
        <v>0</v>
      </c>
      <c r="Q50" s="152">
        <f>2!Q160</f>
        <v>0</v>
      </c>
      <c r="R50" s="152">
        <f>2!R160</f>
        <v>0</v>
      </c>
      <c r="S50" s="152">
        <f>2!S160</f>
        <v>0</v>
      </c>
      <c r="T50" s="152">
        <f>2!T160</f>
        <v>0</v>
      </c>
      <c r="U50" s="152">
        <f>2!U160</f>
        <v>0</v>
      </c>
      <c r="V50" s="152">
        <f>2!V160</f>
        <v>0</v>
      </c>
      <c r="W50" s="152">
        <f>2!W160</f>
        <v>0</v>
      </c>
      <c r="X50" s="152">
        <f>2!X160</f>
        <v>0</v>
      </c>
      <c r="Y50" s="152">
        <f>2!Y160</f>
        <v>0</v>
      </c>
      <c r="Z50" s="152">
        <f>2!Z160</f>
        <v>0</v>
      </c>
      <c r="AA50" s="152">
        <f>2!AA160</f>
        <v>0</v>
      </c>
    </row>
    <row r="51" spans="3:27" ht="12.75">
      <c r="C51" s="174" t="str">
        <f>C62</f>
        <v>Izglītības programmu grupa: "viesnīcu un restorānu paklapojumi"  ,  "tūrisma un atpūtas organizācija" (izglītības klasifikācijas koda 3., 4. un 5.cipars "811"  vai "812") </v>
      </c>
      <c r="D51" s="152" t="s">
        <v>152</v>
      </c>
      <c r="H51" s="210"/>
      <c r="I51" s="210"/>
      <c r="J51" s="210"/>
      <c r="K51" s="210"/>
      <c r="L51" s="211"/>
      <c r="M51" s="212"/>
      <c r="N51" s="212"/>
      <c r="O51" s="152">
        <f>2!O161</f>
        <v>0</v>
      </c>
      <c r="P51" s="152">
        <f>2!P161</f>
        <v>0</v>
      </c>
      <c r="Q51" s="152">
        <f>2!Q161</f>
        <v>0</v>
      </c>
      <c r="R51" s="152">
        <f>2!R161</f>
        <v>0</v>
      </c>
      <c r="S51" s="152">
        <f>2!S161</f>
        <v>0</v>
      </c>
      <c r="T51" s="152">
        <f>2!T161</f>
        <v>0</v>
      </c>
      <c r="U51" s="152">
        <f>2!U161</f>
        <v>0</v>
      </c>
      <c r="V51" s="152">
        <f>2!V161</f>
        <v>0</v>
      </c>
      <c r="W51" s="152">
        <f>2!W161</f>
        <v>0</v>
      </c>
      <c r="X51" s="152">
        <f>2!X161</f>
        <v>0</v>
      </c>
      <c r="Y51" s="152">
        <f>2!Y161</f>
        <v>0</v>
      </c>
      <c r="Z51" s="152">
        <f>2!Z161</f>
        <v>0</v>
      </c>
      <c r="AA51" s="152">
        <f>2!AA161</f>
        <v>0</v>
      </c>
    </row>
    <row r="52" spans="3:28" ht="12.75">
      <c r="C52" s="217" t="s">
        <v>21</v>
      </c>
      <c r="G52" s="216"/>
      <c r="H52" s="216"/>
      <c r="I52" s="216"/>
      <c r="J52" s="216"/>
      <c r="K52" s="215"/>
      <c r="L52" s="215"/>
      <c r="M52" s="215"/>
      <c r="O52" s="152">
        <f>2!O162</f>
        <v>0</v>
      </c>
      <c r="P52" s="152">
        <f>2!P162</f>
        <v>0</v>
      </c>
      <c r="Q52" s="152">
        <f>2!Q162</f>
        <v>0</v>
      </c>
      <c r="R52" s="152">
        <f>2!R162</f>
        <v>0</v>
      </c>
      <c r="S52" s="152">
        <f>2!S162</f>
        <v>0</v>
      </c>
      <c r="T52" s="152">
        <f>2!T162</f>
        <v>0</v>
      </c>
      <c r="U52" s="152">
        <f>2!U162</f>
        <v>0</v>
      </c>
      <c r="V52" s="152">
        <f>2!V162</f>
        <v>0</v>
      </c>
      <c r="W52" s="152">
        <f>2!W162</f>
        <v>0</v>
      </c>
      <c r="X52" s="152">
        <f>2!X162</f>
        <v>0</v>
      </c>
      <c r="Y52" s="152">
        <f>2!Y162</f>
        <v>0</v>
      </c>
      <c r="Z52" s="152">
        <f>2!Z162</f>
        <v>0</v>
      </c>
      <c r="AA52" s="152">
        <f>2!AA162</f>
        <v>0</v>
      </c>
      <c r="AB52" s="215"/>
    </row>
    <row r="54" spans="1:27" ht="12.75">
      <c r="A54" s="206"/>
      <c r="B54" s="206"/>
      <c r="C54" s="206" t="s">
        <v>312</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row>
    <row r="56" ht="12.75">
      <c r="C56" s="175" t="s">
        <v>280</v>
      </c>
    </row>
    <row r="57" ht="12.75">
      <c r="C57" s="308" t="str">
        <f>C21</f>
        <v>Izglītojamo skaits, kas izvēlas profesionālo izglītību vispārējās vidējās izglītības vietā (kumulatīvi) +1 gads</v>
      </c>
    </row>
    <row r="58" spans="3:11" ht="12.75">
      <c r="C58" s="207"/>
      <c r="H58" s="542" t="s">
        <v>273</v>
      </c>
      <c r="I58" s="542"/>
      <c r="J58" s="542"/>
      <c r="K58" s="542"/>
    </row>
    <row r="59" spans="3:27" ht="12.75">
      <c r="C59" s="174" t="s">
        <v>54</v>
      </c>
      <c r="D59" s="152" t="s">
        <v>52</v>
      </c>
      <c r="H59" s="210"/>
      <c r="I59" s="210"/>
      <c r="J59" s="210"/>
      <c r="K59" s="210"/>
      <c r="L59" s="374">
        <f aca="true" t="shared" si="3" ref="L59:Z59">L13*($E$8-$E$9)*L23</f>
        <v>0</v>
      </c>
      <c r="M59" s="374">
        <f t="shared" si="3"/>
        <v>0</v>
      </c>
      <c r="N59" s="374">
        <f t="shared" si="3"/>
        <v>0</v>
      </c>
      <c r="O59" s="374">
        <f t="shared" si="3"/>
        <v>0</v>
      </c>
      <c r="P59" s="374">
        <f t="shared" si="3"/>
        <v>0</v>
      </c>
      <c r="Q59" s="374">
        <f t="shared" si="3"/>
        <v>0</v>
      </c>
      <c r="R59" s="374">
        <f t="shared" si="3"/>
        <v>0</v>
      </c>
      <c r="S59" s="374">
        <f t="shared" si="3"/>
        <v>0</v>
      </c>
      <c r="T59" s="374">
        <f t="shared" si="3"/>
        <v>0</v>
      </c>
      <c r="U59" s="374">
        <f t="shared" si="3"/>
        <v>0</v>
      </c>
      <c r="V59" s="374">
        <f t="shared" si="3"/>
        <v>0</v>
      </c>
      <c r="W59" s="374">
        <f t="shared" si="3"/>
        <v>0</v>
      </c>
      <c r="X59" s="374">
        <f t="shared" si="3"/>
        <v>0</v>
      </c>
      <c r="Y59" s="374">
        <f t="shared" si="3"/>
        <v>0</v>
      </c>
      <c r="Z59" s="374">
        <f t="shared" si="3"/>
        <v>0</v>
      </c>
      <c r="AA59" s="374">
        <f>AA13*($E$8-$E$9)*AA23</f>
        <v>0</v>
      </c>
    </row>
    <row r="60" spans="3:27" ht="12.75">
      <c r="C60" s="174" t="s">
        <v>55</v>
      </c>
      <c r="D60" s="152" t="s">
        <v>52</v>
      </c>
      <c r="H60" s="210"/>
      <c r="I60" s="210"/>
      <c r="J60" s="210"/>
      <c r="K60" s="210"/>
      <c r="L60" s="374">
        <f aca="true" t="shared" si="4" ref="L60:Z60">L14*($E$8-$E$9)*L24</f>
        <v>0</v>
      </c>
      <c r="M60" s="374">
        <f t="shared" si="4"/>
        <v>0</v>
      </c>
      <c r="N60" s="374">
        <f t="shared" si="4"/>
        <v>0</v>
      </c>
      <c r="O60" s="374">
        <f t="shared" si="4"/>
        <v>0</v>
      </c>
      <c r="P60" s="374">
        <f t="shared" si="4"/>
        <v>0</v>
      </c>
      <c r="Q60" s="374">
        <f t="shared" si="4"/>
        <v>0</v>
      </c>
      <c r="R60" s="374">
        <f t="shared" si="4"/>
        <v>0</v>
      </c>
      <c r="S60" s="374">
        <f t="shared" si="4"/>
        <v>0</v>
      </c>
      <c r="T60" s="374">
        <f t="shared" si="4"/>
        <v>0</v>
      </c>
      <c r="U60" s="374">
        <f t="shared" si="4"/>
        <v>0</v>
      </c>
      <c r="V60" s="374">
        <f t="shared" si="4"/>
        <v>0</v>
      </c>
      <c r="W60" s="374">
        <f t="shared" si="4"/>
        <v>0</v>
      </c>
      <c r="X60" s="374">
        <f t="shared" si="4"/>
        <v>0</v>
      </c>
      <c r="Y60" s="374">
        <f t="shared" si="4"/>
        <v>0</v>
      </c>
      <c r="Z60" s="374">
        <f t="shared" si="4"/>
        <v>0</v>
      </c>
      <c r="AA60" s="374">
        <f>AA14*($E$8-$E$9)*AA24</f>
        <v>0</v>
      </c>
    </row>
    <row r="61" spans="3:27" ht="12.75">
      <c r="C61" s="174" t="s">
        <v>56</v>
      </c>
      <c r="D61" s="152" t="s">
        <v>52</v>
      </c>
      <c r="H61" s="210"/>
      <c r="I61" s="210"/>
      <c r="J61" s="210"/>
      <c r="K61" s="210"/>
      <c r="L61" s="374">
        <f aca="true" t="shared" si="5" ref="L61:Z61">L15*($E$8-$E$9)*L25</f>
        <v>0</v>
      </c>
      <c r="M61" s="374">
        <f t="shared" si="5"/>
        <v>0</v>
      </c>
      <c r="N61" s="374">
        <f t="shared" si="5"/>
        <v>0</v>
      </c>
      <c r="O61" s="374">
        <f t="shared" si="5"/>
        <v>0</v>
      </c>
      <c r="P61" s="374">
        <f t="shared" si="5"/>
        <v>0</v>
      </c>
      <c r="Q61" s="374">
        <f t="shared" si="5"/>
        <v>0</v>
      </c>
      <c r="R61" s="374">
        <f t="shared" si="5"/>
        <v>0</v>
      </c>
      <c r="S61" s="374">
        <f t="shared" si="5"/>
        <v>0</v>
      </c>
      <c r="T61" s="374">
        <f t="shared" si="5"/>
        <v>0</v>
      </c>
      <c r="U61" s="374">
        <f t="shared" si="5"/>
        <v>0</v>
      </c>
      <c r="V61" s="374">
        <f t="shared" si="5"/>
        <v>0</v>
      </c>
      <c r="W61" s="374">
        <f t="shared" si="5"/>
        <v>0</v>
      </c>
      <c r="X61" s="374">
        <f t="shared" si="5"/>
        <v>0</v>
      </c>
      <c r="Y61" s="374">
        <f t="shared" si="5"/>
        <v>0</v>
      </c>
      <c r="Z61" s="374">
        <f t="shared" si="5"/>
        <v>0</v>
      </c>
      <c r="AA61" s="374">
        <f>AA15*($E$8-$E$9)*AA25</f>
        <v>0</v>
      </c>
    </row>
    <row r="62" spans="3:27" ht="12.75">
      <c r="C62" s="174" t="s">
        <v>57</v>
      </c>
      <c r="H62" s="210"/>
      <c r="I62" s="210"/>
      <c r="J62" s="210"/>
      <c r="K62" s="210"/>
      <c r="L62" s="374">
        <f aca="true" t="shared" si="6" ref="L62:Z62">L16*($E$8-$E$9)*L26</f>
        <v>0</v>
      </c>
      <c r="M62" s="374">
        <f t="shared" si="6"/>
        <v>0</v>
      </c>
      <c r="N62" s="374">
        <f t="shared" si="6"/>
        <v>0</v>
      </c>
      <c r="O62" s="374">
        <f t="shared" si="6"/>
        <v>0</v>
      </c>
      <c r="P62" s="374">
        <f t="shared" si="6"/>
        <v>0</v>
      </c>
      <c r="Q62" s="374">
        <f t="shared" si="6"/>
        <v>0</v>
      </c>
      <c r="R62" s="374">
        <f t="shared" si="6"/>
        <v>0</v>
      </c>
      <c r="S62" s="374">
        <f t="shared" si="6"/>
        <v>0</v>
      </c>
      <c r="T62" s="374">
        <f t="shared" si="6"/>
        <v>0</v>
      </c>
      <c r="U62" s="374">
        <f t="shared" si="6"/>
        <v>0</v>
      </c>
      <c r="V62" s="374">
        <f t="shared" si="6"/>
        <v>0</v>
      </c>
      <c r="W62" s="374">
        <f t="shared" si="6"/>
        <v>0</v>
      </c>
      <c r="X62" s="374">
        <f t="shared" si="6"/>
        <v>0</v>
      </c>
      <c r="Y62" s="374">
        <f t="shared" si="6"/>
        <v>0</v>
      </c>
      <c r="Z62" s="374">
        <f t="shared" si="6"/>
        <v>0</v>
      </c>
      <c r="AA62" s="374">
        <f>AA16*($E$8-$E$9)*AA26</f>
        <v>0</v>
      </c>
    </row>
    <row r="63" ht="12.75">
      <c r="G63" s="173"/>
    </row>
    <row r="64" spans="3:7" ht="12.75">
      <c r="C64" s="308" t="str">
        <f>C29</f>
        <v>Izglītojamo skaits, kas izvēlas studēt profesionālās izglītības iestādē nevis uzsākt darbu pēc pamatskolas beigšanas (kumulatīvi) +3 gadi</v>
      </c>
      <c r="G64" s="173"/>
    </row>
    <row r="65" spans="3:11" ht="12.75">
      <c r="C65" s="207"/>
      <c r="H65" s="542" t="s">
        <v>273</v>
      </c>
      <c r="I65" s="542"/>
      <c r="J65" s="542"/>
      <c r="K65" s="542"/>
    </row>
    <row r="66" spans="3:28" ht="12.75">
      <c r="C66" s="174" t="s">
        <v>54</v>
      </c>
      <c r="D66" s="152" t="s">
        <v>52</v>
      </c>
      <c r="H66" s="210"/>
      <c r="I66" s="210"/>
      <c r="J66" s="210"/>
      <c r="K66" s="210"/>
      <c r="L66" s="173">
        <f aca="true" t="shared" si="7" ref="L66:Z66">L13*($E$8-$E$10)*L31</f>
        <v>0</v>
      </c>
      <c r="M66" s="173">
        <f t="shared" si="7"/>
        <v>0</v>
      </c>
      <c r="N66" s="173">
        <f t="shared" si="7"/>
        <v>0</v>
      </c>
      <c r="O66" s="173">
        <f t="shared" si="7"/>
        <v>0</v>
      </c>
      <c r="P66" s="173">
        <f t="shared" si="7"/>
        <v>0</v>
      </c>
      <c r="Q66" s="173">
        <f t="shared" si="7"/>
        <v>0</v>
      </c>
      <c r="R66" s="173">
        <f t="shared" si="7"/>
        <v>0</v>
      </c>
      <c r="S66" s="173">
        <f t="shared" si="7"/>
        <v>0</v>
      </c>
      <c r="T66" s="173">
        <f t="shared" si="7"/>
        <v>0</v>
      </c>
      <c r="U66" s="173">
        <f t="shared" si="7"/>
        <v>0</v>
      </c>
      <c r="V66" s="173">
        <f t="shared" si="7"/>
        <v>0</v>
      </c>
      <c r="W66" s="173">
        <f t="shared" si="7"/>
        <v>0</v>
      </c>
      <c r="X66" s="173">
        <f t="shared" si="7"/>
        <v>0</v>
      </c>
      <c r="Y66" s="173">
        <f t="shared" si="7"/>
        <v>0</v>
      </c>
      <c r="Z66" s="173">
        <f t="shared" si="7"/>
        <v>0</v>
      </c>
      <c r="AA66" s="173">
        <f>AA13*($E$8-$E$10)*AA31</f>
        <v>0</v>
      </c>
      <c r="AB66" s="173"/>
    </row>
    <row r="67" spans="3:28" ht="12.75">
      <c r="C67" s="174" t="s">
        <v>55</v>
      </c>
      <c r="D67" s="152" t="s">
        <v>52</v>
      </c>
      <c r="H67" s="210"/>
      <c r="I67" s="210"/>
      <c r="J67" s="210"/>
      <c r="K67" s="210"/>
      <c r="L67" s="173">
        <f aca="true" t="shared" si="8" ref="L67:Z67">L14*($E$8-$E$10)*L32</f>
        <v>0</v>
      </c>
      <c r="M67" s="173">
        <f t="shared" si="8"/>
        <v>0</v>
      </c>
      <c r="N67" s="173">
        <f t="shared" si="8"/>
        <v>0</v>
      </c>
      <c r="O67" s="173">
        <f t="shared" si="8"/>
        <v>0</v>
      </c>
      <c r="P67" s="173">
        <f t="shared" si="8"/>
        <v>0</v>
      </c>
      <c r="Q67" s="173">
        <f t="shared" si="8"/>
        <v>0</v>
      </c>
      <c r="R67" s="173">
        <f t="shared" si="8"/>
        <v>0</v>
      </c>
      <c r="S67" s="173">
        <f t="shared" si="8"/>
        <v>0</v>
      </c>
      <c r="T67" s="173">
        <f t="shared" si="8"/>
        <v>0</v>
      </c>
      <c r="U67" s="173">
        <f t="shared" si="8"/>
        <v>0</v>
      </c>
      <c r="V67" s="173">
        <f t="shared" si="8"/>
        <v>0</v>
      </c>
      <c r="W67" s="173">
        <f t="shared" si="8"/>
        <v>0</v>
      </c>
      <c r="X67" s="173">
        <f t="shared" si="8"/>
        <v>0</v>
      </c>
      <c r="Y67" s="173">
        <f t="shared" si="8"/>
        <v>0</v>
      </c>
      <c r="Z67" s="173">
        <f t="shared" si="8"/>
        <v>0</v>
      </c>
      <c r="AA67" s="173">
        <f>AA14*($E$8-$E$10)*AA32</f>
        <v>0</v>
      </c>
      <c r="AB67" s="173"/>
    </row>
    <row r="68" spans="3:28" ht="12.75">
      <c r="C68" s="174" t="s">
        <v>56</v>
      </c>
      <c r="D68" s="152" t="s">
        <v>52</v>
      </c>
      <c r="H68" s="210"/>
      <c r="I68" s="210"/>
      <c r="J68" s="210"/>
      <c r="K68" s="210"/>
      <c r="L68" s="173">
        <f aca="true" t="shared" si="9" ref="L68:Z68">L15*($E$8-$E$10)*L33</f>
        <v>0</v>
      </c>
      <c r="M68" s="173">
        <f t="shared" si="9"/>
        <v>0</v>
      </c>
      <c r="N68" s="173">
        <f t="shared" si="9"/>
        <v>0</v>
      </c>
      <c r="O68" s="173">
        <f t="shared" si="9"/>
        <v>0</v>
      </c>
      <c r="P68" s="173">
        <f t="shared" si="9"/>
        <v>0</v>
      </c>
      <c r="Q68" s="173">
        <f t="shared" si="9"/>
        <v>0</v>
      </c>
      <c r="R68" s="173">
        <f t="shared" si="9"/>
        <v>0</v>
      </c>
      <c r="S68" s="173">
        <f t="shared" si="9"/>
        <v>0</v>
      </c>
      <c r="T68" s="173">
        <f t="shared" si="9"/>
        <v>0</v>
      </c>
      <c r="U68" s="173">
        <f t="shared" si="9"/>
        <v>0</v>
      </c>
      <c r="V68" s="173">
        <f t="shared" si="9"/>
        <v>0</v>
      </c>
      <c r="W68" s="173">
        <f t="shared" si="9"/>
        <v>0</v>
      </c>
      <c r="X68" s="173">
        <f t="shared" si="9"/>
        <v>0</v>
      </c>
      <c r="Y68" s="173">
        <f t="shared" si="9"/>
        <v>0</v>
      </c>
      <c r="Z68" s="173">
        <f t="shared" si="9"/>
        <v>0</v>
      </c>
      <c r="AA68" s="173">
        <f>AA15*($E$8-$E$10)*AA33</f>
        <v>0</v>
      </c>
      <c r="AB68" s="173"/>
    </row>
    <row r="69" spans="3:28" ht="12.75">
      <c r="C69" s="174" t="s">
        <v>57</v>
      </c>
      <c r="D69" s="152" t="s">
        <v>52</v>
      </c>
      <c r="H69" s="210"/>
      <c r="I69" s="210"/>
      <c r="J69" s="210"/>
      <c r="K69" s="210"/>
      <c r="L69" s="173">
        <f aca="true" t="shared" si="10" ref="L69:Z69">L16*($E$8-$E$10)*L34</f>
        <v>0</v>
      </c>
      <c r="M69" s="173">
        <f t="shared" si="10"/>
        <v>0</v>
      </c>
      <c r="N69" s="173">
        <f t="shared" si="10"/>
        <v>0</v>
      </c>
      <c r="O69" s="173">
        <f t="shared" si="10"/>
        <v>0</v>
      </c>
      <c r="P69" s="173">
        <f t="shared" si="10"/>
        <v>0</v>
      </c>
      <c r="Q69" s="173">
        <f t="shared" si="10"/>
        <v>0</v>
      </c>
      <c r="R69" s="173">
        <f t="shared" si="10"/>
        <v>0</v>
      </c>
      <c r="S69" s="173">
        <f t="shared" si="10"/>
        <v>0</v>
      </c>
      <c r="T69" s="173">
        <f t="shared" si="10"/>
        <v>0</v>
      </c>
      <c r="U69" s="173">
        <f t="shared" si="10"/>
        <v>0</v>
      </c>
      <c r="V69" s="173">
        <f t="shared" si="10"/>
        <v>0</v>
      </c>
      <c r="W69" s="173">
        <f t="shared" si="10"/>
        <v>0</v>
      </c>
      <c r="X69" s="173">
        <f t="shared" si="10"/>
        <v>0</v>
      </c>
      <c r="Y69" s="173">
        <f t="shared" si="10"/>
        <v>0</v>
      </c>
      <c r="Z69" s="173">
        <f t="shared" si="10"/>
        <v>0</v>
      </c>
      <c r="AA69" s="173">
        <f>AA16*($E$8-$E$10)*AA34</f>
        <v>0</v>
      </c>
      <c r="AB69" s="173"/>
    </row>
    <row r="70" spans="1:27" ht="12.75">
      <c r="A70" s="221"/>
      <c r="B70" s="221"/>
      <c r="C70" s="220" t="s">
        <v>21</v>
      </c>
      <c r="D70" s="221"/>
      <c r="E70" s="221"/>
      <c r="F70" s="221"/>
      <c r="G70" s="222"/>
      <c r="H70" s="222"/>
      <c r="I70" s="222"/>
      <c r="J70" s="222"/>
      <c r="K70" s="222"/>
      <c r="L70" s="222">
        <f aca="true" t="shared" si="11" ref="L70:Z70">SUM(L59:L62)+SUM(L66:L69)</f>
        <v>0</v>
      </c>
      <c r="M70" s="222">
        <f t="shared" si="11"/>
        <v>0</v>
      </c>
      <c r="N70" s="222">
        <f t="shared" si="11"/>
        <v>0</v>
      </c>
      <c r="O70" s="222">
        <f t="shared" si="11"/>
        <v>0</v>
      </c>
      <c r="P70" s="222">
        <f t="shared" si="11"/>
        <v>0</v>
      </c>
      <c r="Q70" s="222">
        <f t="shared" si="11"/>
        <v>0</v>
      </c>
      <c r="R70" s="222">
        <f t="shared" si="11"/>
        <v>0</v>
      </c>
      <c r="S70" s="222">
        <f t="shared" si="11"/>
        <v>0</v>
      </c>
      <c r="T70" s="222">
        <f t="shared" si="11"/>
        <v>0</v>
      </c>
      <c r="U70" s="222">
        <f t="shared" si="11"/>
        <v>0</v>
      </c>
      <c r="V70" s="222">
        <f t="shared" si="11"/>
        <v>0</v>
      </c>
      <c r="W70" s="222">
        <f t="shared" si="11"/>
        <v>0</v>
      </c>
      <c r="X70" s="222">
        <f t="shared" si="11"/>
        <v>0</v>
      </c>
      <c r="Y70" s="222">
        <f t="shared" si="11"/>
        <v>0</v>
      </c>
      <c r="Z70" s="222">
        <f t="shared" si="11"/>
        <v>0</v>
      </c>
      <c r="AA70" s="222">
        <f>SUM(AA59:AA62)+SUM(AA66:AA69)</f>
        <v>0</v>
      </c>
    </row>
    <row r="72" ht="12.75">
      <c r="C72" s="175" t="s">
        <v>289</v>
      </c>
    </row>
    <row r="73" ht="12.75">
      <c r="C73" s="308" t="s">
        <v>279</v>
      </c>
    </row>
    <row r="74" spans="3:14" ht="12.75">
      <c r="C74" s="207"/>
      <c r="D74" s="152" t="s">
        <v>52</v>
      </c>
      <c r="H74" s="542" t="s">
        <v>273</v>
      </c>
      <c r="I74" s="542"/>
      <c r="J74" s="542"/>
      <c r="K74" s="542"/>
      <c r="L74" s="542" t="s">
        <v>272</v>
      </c>
      <c r="M74" s="542"/>
      <c r="N74" s="542"/>
    </row>
    <row r="75" spans="3:27" ht="12.75">
      <c r="C75" s="174" t="s">
        <v>54</v>
      </c>
      <c r="D75" s="152" t="s">
        <v>52</v>
      </c>
      <c r="H75" s="210"/>
      <c r="I75" s="210"/>
      <c r="J75" s="210"/>
      <c r="K75" s="210"/>
      <c r="L75" s="211"/>
      <c r="M75" s="212"/>
      <c r="N75" s="212"/>
      <c r="O75" s="173">
        <f aca="true" t="shared" si="12" ref="O75:Z75">O13*($E$7-$E$9)*O40</f>
        <v>0</v>
      </c>
      <c r="P75" s="173">
        <f t="shared" si="12"/>
        <v>0</v>
      </c>
      <c r="Q75" s="173">
        <f t="shared" si="12"/>
        <v>0</v>
      </c>
      <c r="R75" s="173">
        <f t="shared" si="12"/>
        <v>0</v>
      </c>
      <c r="S75" s="173">
        <f t="shared" si="12"/>
        <v>0</v>
      </c>
      <c r="T75" s="173">
        <f t="shared" si="12"/>
        <v>0</v>
      </c>
      <c r="U75" s="173">
        <f t="shared" si="12"/>
        <v>0</v>
      </c>
      <c r="V75" s="173">
        <f t="shared" si="12"/>
        <v>0</v>
      </c>
      <c r="W75" s="173">
        <f t="shared" si="12"/>
        <v>0</v>
      </c>
      <c r="X75" s="173">
        <f t="shared" si="12"/>
        <v>0</v>
      </c>
      <c r="Y75" s="173">
        <f t="shared" si="12"/>
        <v>0</v>
      </c>
      <c r="Z75" s="173">
        <f t="shared" si="12"/>
        <v>0</v>
      </c>
      <c r="AA75" s="173">
        <f>AA13*($E$7-$E$9)*AA40</f>
        <v>0</v>
      </c>
    </row>
    <row r="76" spans="3:27" ht="12.75">
      <c r="C76" s="174" t="s">
        <v>55</v>
      </c>
      <c r="D76" s="152" t="s">
        <v>52</v>
      </c>
      <c r="H76" s="210"/>
      <c r="I76" s="210"/>
      <c r="J76" s="210"/>
      <c r="K76" s="210"/>
      <c r="L76" s="211"/>
      <c r="M76" s="212"/>
      <c r="N76" s="212"/>
      <c r="O76" s="173">
        <f aca="true" t="shared" si="13" ref="O76:Z76">O14*($E$7-$E$9)*O41</f>
        <v>0</v>
      </c>
      <c r="P76" s="173">
        <f t="shared" si="13"/>
        <v>0</v>
      </c>
      <c r="Q76" s="173">
        <f t="shared" si="13"/>
        <v>0</v>
      </c>
      <c r="R76" s="173">
        <f t="shared" si="13"/>
        <v>0</v>
      </c>
      <c r="S76" s="173">
        <f t="shared" si="13"/>
        <v>0</v>
      </c>
      <c r="T76" s="173">
        <f t="shared" si="13"/>
        <v>0</v>
      </c>
      <c r="U76" s="173">
        <f t="shared" si="13"/>
        <v>0</v>
      </c>
      <c r="V76" s="173">
        <f t="shared" si="13"/>
        <v>0</v>
      </c>
      <c r="W76" s="173">
        <f t="shared" si="13"/>
        <v>0</v>
      </c>
      <c r="X76" s="173">
        <f t="shared" si="13"/>
        <v>0</v>
      </c>
      <c r="Y76" s="173">
        <f t="shared" si="13"/>
        <v>0</v>
      </c>
      <c r="Z76" s="173">
        <f t="shared" si="13"/>
        <v>0</v>
      </c>
      <c r="AA76" s="173">
        <f>AA14*($E$7-$E$9)*AA41</f>
        <v>0</v>
      </c>
    </row>
    <row r="77" spans="3:27" ht="12.75">
      <c r="C77" s="174" t="s">
        <v>56</v>
      </c>
      <c r="D77" s="152" t="s">
        <v>52</v>
      </c>
      <c r="H77" s="210"/>
      <c r="I77" s="210"/>
      <c r="J77" s="210"/>
      <c r="K77" s="210"/>
      <c r="L77" s="211"/>
      <c r="M77" s="212"/>
      <c r="N77" s="212"/>
      <c r="O77" s="173">
        <f aca="true" t="shared" si="14" ref="O77:Z77">O15*($E$7-$E$9)*O42</f>
        <v>0</v>
      </c>
      <c r="P77" s="173">
        <f t="shared" si="14"/>
        <v>0</v>
      </c>
      <c r="Q77" s="173">
        <f t="shared" si="14"/>
        <v>0</v>
      </c>
      <c r="R77" s="173">
        <f t="shared" si="14"/>
        <v>0</v>
      </c>
      <c r="S77" s="173">
        <f t="shared" si="14"/>
        <v>0</v>
      </c>
      <c r="T77" s="173">
        <f t="shared" si="14"/>
        <v>0</v>
      </c>
      <c r="U77" s="173">
        <f t="shared" si="14"/>
        <v>0</v>
      </c>
      <c r="V77" s="173">
        <f t="shared" si="14"/>
        <v>0</v>
      </c>
      <c r="W77" s="173">
        <f t="shared" si="14"/>
        <v>0</v>
      </c>
      <c r="X77" s="173">
        <f t="shared" si="14"/>
        <v>0</v>
      </c>
      <c r="Y77" s="173">
        <f t="shared" si="14"/>
        <v>0</v>
      </c>
      <c r="Z77" s="173">
        <f t="shared" si="14"/>
        <v>0</v>
      </c>
      <c r="AA77" s="173">
        <f>AA15*($E$7-$E$9)*AA42</f>
        <v>0</v>
      </c>
    </row>
    <row r="78" spans="3:27" ht="12.75">
      <c r="C78" s="174" t="s">
        <v>57</v>
      </c>
      <c r="H78" s="210"/>
      <c r="I78" s="210"/>
      <c r="J78" s="210"/>
      <c r="K78" s="210"/>
      <c r="L78" s="211"/>
      <c r="M78" s="212"/>
      <c r="N78" s="212"/>
      <c r="O78" s="173">
        <f aca="true" t="shared" si="15" ref="O78:Z78">O16*($E$7-$E$9)*O43</f>
        <v>0</v>
      </c>
      <c r="P78" s="173">
        <f t="shared" si="15"/>
        <v>0</v>
      </c>
      <c r="Q78" s="173">
        <f t="shared" si="15"/>
        <v>0</v>
      </c>
      <c r="R78" s="173">
        <f t="shared" si="15"/>
        <v>0</v>
      </c>
      <c r="S78" s="173">
        <f t="shared" si="15"/>
        <v>0</v>
      </c>
      <c r="T78" s="173">
        <f t="shared" si="15"/>
        <v>0</v>
      </c>
      <c r="U78" s="173">
        <f t="shared" si="15"/>
        <v>0</v>
      </c>
      <c r="V78" s="173">
        <f t="shared" si="15"/>
        <v>0</v>
      </c>
      <c r="W78" s="173">
        <f t="shared" si="15"/>
        <v>0</v>
      </c>
      <c r="X78" s="173">
        <f t="shared" si="15"/>
        <v>0</v>
      </c>
      <c r="Y78" s="173">
        <f t="shared" si="15"/>
        <v>0</v>
      </c>
      <c r="Z78" s="173">
        <f t="shared" si="15"/>
        <v>0</v>
      </c>
      <c r="AA78" s="173">
        <f>AA16*($E$7-$E$9)*AA43</f>
        <v>0</v>
      </c>
    </row>
    <row r="80" ht="12.75">
      <c r="C80" s="308" t="s">
        <v>278</v>
      </c>
    </row>
    <row r="81" spans="3:14" ht="12.75">
      <c r="C81" s="207"/>
      <c r="H81" s="542" t="s">
        <v>273</v>
      </c>
      <c r="I81" s="542"/>
      <c r="J81" s="542"/>
      <c r="K81" s="542"/>
      <c r="L81" s="542" t="s">
        <v>272</v>
      </c>
      <c r="M81" s="542"/>
      <c r="N81" s="542"/>
    </row>
    <row r="82" spans="3:27" ht="12.75">
      <c r="C82" s="174" t="s">
        <v>54</v>
      </c>
      <c r="D82" s="152" t="s">
        <v>52</v>
      </c>
      <c r="H82" s="210"/>
      <c r="I82" s="210"/>
      <c r="J82" s="210"/>
      <c r="K82" s="210"/>
      <c r="L82" s="211"/>
      <c r="M82" s="212"/>
      <c r="N82" s="212"/>
      <c r="O82" s="173">
        <f aca="true" t="shared" si="16" ref="O82:Z82">O13*($E$7-$E$10)*O40</f>
        <v>0</v>
      </c>
      <c r="P82" s="173">
        <f t="shared" si="16"/>
        <v>0</v>
      </c>
      <c r="Q82" s="173">
        <f t="shared" si="16"/>
        <v>0</v>
      </c>
      <c r="R82" s="173">
        <f t="shared" si="16"/>
        <v>0</v>
      </c>
      <c r="S82" s="173">
        <f t="shared" si="16"/>
        <v>0</v>
      </c>
      <c r="T82" s="173">
        <f t="shared" si="16"/>
        <v>0</v>
      </c>
      <c r="U82" s="173">
        <f t="shared" si="16"/>
        <v>0</v>
      </c>
      <c r="V82" s="173">
        <f t="shared" si="16"/>
        <v>0</v>
      </c>
      <c r="W82" s="173">
        <f t="shared" si="16"/>
        <v>0</v>
      </c>
      <c r="X82" s="173">
        <f t="shared" si="16"/>
        <v>0</v>
      </c>
      <c r="Y82" s="173">
        <f t="shared" si="16"/>
        <v>0</v>
      </c>
      <c r="Z82" s="173">
        <f t="shared" si="16"/>
        <v>0</v>
      </c>
      <c r="AA82" s="173">
        <f>AA13*($E$7-$E$10)*AA40</f>
        <v>0</v>
      </c>
    </row>
    <row r="83" spans="3:27" ht="12.75">
      <c r="C83" s="174" t="s">
        <v>55</v>
      </c>
      <c r="D83" s="152" t="s">
        <v>52</v>
      </c>
      <c r="H83" s="210"/>
      <c r="I83" s="210"/>
      <c r="J83" s="210"/>
      <c r="K83" s="210"/>
      <c r="L83" s="211"/>
      <c r="M83" s="212"/>
      <c r="N83" s="212"/>
      <c r="O83" s="173">
        <f aca="true" t="shared" si="17" ref="O83:Z83">O14*($E$7-$E$10)*O41</f>
        <v>0</v>
      </c>
      <c r="P83" s="173">
        <f t="shared" si="17"/>
        <v>0</v>
      </c>
      <c r="Q83" s="173">
        <f t="shared" si="17"/>
        <v>0</v>
      </c>
      <c r="R83" s="173">
        <f t="shared" si="17"/>
        <v>0</v>
      </c>
      <c r="S83" s="173">
        <f t="shared" si="17"/>
        <v>0</v>
      </c>
      <c r="T83" s="173">
        <f t="shared" si="17"/>
        <v>0</v>
      </c>
      <c r="U83" s="173">
        <f t="shared" si="17"/>
        <v>0</v>
      </c>
      <c r="V83" s="173">
        <f t="shared" si="17"/>
        <v>0</v>
      </c>
      <c r="W83" s="173">
        <f t="shared" si="17"/>
        <v>0</v>
      </c>
      <c r="X83" s="173">
        <f t="shared" si="17"/>
        <v>0</v>
      </c>
      <c r="Y83" s="173">
        <f t="shared" si="17"/>
        <v>0</v>
      </c>
      <c r="Z83" s="173">
        <f t="shared" si="17"/>
        <v>0</v>
      </c>
      <c r="AA83" s="173">
        <f>AA14*($E$7-$E$10)*AA41</f>
        <v>0</v>
      </c>
    </row>
    <row r="84" spans="3:27" ht="12.75">
      <c r="C84" s="174" t="s">
        <v>56</v>
      </c>
      <c r="D84" s="152" t="s">
        <v>52</v>
      </c>
      <c r="H84" s="210"/>
      <c r="I84" s="210"/>
      <c r="J84" s="210"/>
      <c r="K84" s="210"/>
      <c r="L84" s="211"/>
      <c r="M84" s="212"/>
      <c r="N84" s="212"/>
      <c r="O84" s="173">
        <f aca="true" t="shared" si="18" ref="O84:Z84">O15*($E$7-$E$10)*O42</f>
        <v>0</v>
      </c>
      <c r="P84" s="173">
        <f t="shared" si="18"/>
        <v>0</v>
      </c>
      <c r="Q84" s="173">
        <f t="shared" si="18"/>
        <v>0</v>
      </c>
      <c r="R84" s="173">
        <f t="shared" si="18"/>
        <v>0</v>
      </c>
      <c r="S84" s="173">
        <f t="shared" si="18"/>
        <v>0</v>
      </c>
      <c r="T84" s="173">
        <f t="shared" si="18"/>
        <v>0</v>
      </c>
      <c r="U84" s="173">
        <f t="shared" si="18"/>
        <v>0</v>
      </c>
      <c r="V84" s="173">
        <f t="shared" si="18"/>
        <v>0</v>
      </c>
      <c r="W84" s="173">
        <f t="shared" si="18"/>
        <v>0</v>
      </c>
      <c r="X84" s="173">
        <f t="shared" si="18"/>
        <v>0</v>
      </c>
      <c r="Y84" s="173">
        <f t="shared" si="18"/>
        <v>0</v>
      </c>
      <c r="Z84" s="173">
        <f t="shared" si="18"/>
        <v>0</v>
      </c>
      <c r="AA84" s="173">
        <f>AA15*($E$7-$E$10)*AA42</f>
        <v>0</v>
      </c>
    </row>
    <row r="85" spans="3:27" ht="12.75">
      <c r="C85" s="174" t="s">
        <v>57</v>
      </c>
      <c r="D85" s="152" t="s">
        <v>52</v>
      </c>
      <c r="H85" s="210"/>
      <c r="I85" s="210"/>
      <c r="J85" s="210"/>
      <c r="K85" s="210"/>
      <c r="L85" s="211"/>
      <c r="M85" s="212"/>
      <c r="N85" s="212"/>
      <c r="O85" s="173">
        <f aca="true" t="shared" si="19" ref="O85:Z85">O16*($E$7-$E$10)*O43</f>
        <v>0</v>
      </c>
      <c r="P85" s="173">
        <f t="shared" si="19"/>
        <v>0</v>
      </c>
      <c r="Q85" s="173">
        <f t="shared" si="19"/>
        <v>0</v>
      </c>
      <c r="R85" s="173">
        <f t="shared" si="19"/>
        <v>0</v>
      </c>
      <c r="S85" s="173">
        <f t="shared" si="19"/>
        <v>0</v>
      </c>
      <c r="T85" s="173">
        <f t="shared" si="19"/>
        <v>0</v>
      </c>
      <c r="U85" s="173">
        <f t="shared" si="19"/>
        <v>0</v>
      </c>
      <c r="V85" s="173">
        <f t="shared" si="19"/>
        <v>0</v>
      </c>
      <c r="W85" s="173">
        <f t="shared" si="19"/>
        <v>0</v>
      </c>
      <c r="X85" s="173">
        <f t="shared" si="19"/>
        <v>0</v>
      </c>
      <c r="Y85" s="173">
        <f t="shared" si="19"/>
        <v>0</v>
      </c>
      <c r="Z85" s="173">
        <f t="shared" si="19"/>
        <v>0</v>
      </c>
      <c r="AA85" s="173">
        <f>AA16*($E$7-$E$10)*AA43</f>
        <v>0</v>
      </c>
    </row>
    <row r="86" ht="12.75">
      <c r="C86" s="174"/>
    </row>
    <row r="87" spans="1:27" ht="12.75">
      <c r="A87" s="221"/>
      <c r="B87" s="221"/>
      <c r="C87" s="220" t="s">
        <v>21</v>
      </c>
      <c r="D87" s="221"/>
      <c r="E87" s="221"/>
      <c r="F87" s="221"/>
      <c r="G87" s="222"/>
      <c r="H87" s="222"/>
      <c r="I87" s="222"/>
      <c r="J87" s="222"/>
      <c r="K87" s="222"/>
      <c r="L87" s="222"/>
      <c r="M87" s="222"/>
      <c r="N87" s="222"/>
      <c r="O87" s="222">
        <f aca="true" t="shared" si="20" ref="O87:Z87">SUM(O75:O78)+SUM(O82:O85)</f>
        <v>0</v>
      </c>
      <c r="P87" s="222">
        <f t="shared" si="20"/>
        <v>0</v>
      </c>
      <c r="Q87" s="222">
        <f t="shared" si="20"/>
        <v>0</v>
      </c>
      <c r="R87" s="222">
        <f t="shared" si="20"/>
        <v>0</v>
      </c>
      <c r="S87" s="222">
        <f t="shared" si="20"/>
        <v>0</v>
      </c>
      <c r="T87" s="222">
        <f t="shared" si="20"/>
        <v>0</v>
      </c>
      <c r="U87" s="222">
        <f t="shared" si="20"/>
        <v>0</v>
      </c>
      <c r="V87" s="222">
        <f t="shared" si="20"/>
        <v>0</v>
      </c>
      <c r="W87" s="222">
        <f t="shared" si="20"/>
        <v>0</v>
      </c>
      <c r="X87" s="222">
        <f t="shared" si="20"/>
        <v>0</v>
      </c>
      <c r="Y87" s="222">
        <f t="shared" si="20"/>
        <v>0</v>
      </c>
      <c r="Z87" s="222">
        <f t="shared" si="20"/>
        <v>0</v>
      </c>
      <c r="AA87" s="222">
        <f>SUM(AA75:AA78)+SUM(AA82:AA85)</f>
        <v>0</v>
      </c>
    </row>
    <row r="88" spans="1:29" s="265" customFormat="1" ht="15">
      <c r="A88" s="263"/>
      <c r="B88" s="206"/>
      <c r="C88" s="263" t="s">
        <v>692</v>
      </c>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row>
    <row r="89" spans="3:14" ht="12.75">
      <c r="C89" s="207" t="s">
        <v>688</v>
      </c>
      <c r="H89" s="542" t="s">
        <v>273</v>
      </c>
      <c r="I89" s="542"/>
      <c r="J89" s="542"/>
      <c r="K89" s="542"/>
      <c r="L89" s="542" t="s">
        <v>272</v>
      </c>
      <c r="M89" s="542"/>
      <c r="N89" s="542"/>
    </row>
    <row r="90" spans="3:27" ht="12.75">
      <c r="C90" s="174" t="s">
        <v>54</v>
      </c>
      <c r="D90" s="152" t="s">
        <v>52</v>
      </c>
      <c r="H90" s="210"/>
      <c r="I90" s="210"/>
      <c r="J90" s="210"/>
      <c r="K90" s="210"/>
      <c r="L90" s="211"/>
      <c r="M90" s="212"/>
      <c r="N90" s="212"/>
      <c r="O90" s="173">
        <f>2!O218</f>
        <v>0</v>
      </c>
      <c r="P90" s="173">
        <f>2!P218</f>
        <v>0</v>
      </c>
      <c r="Q90" s="173">
        <f>2!Q218</f>
        <v>0</v>
      </c>
      <c r="R90" s="173">
        <f>2!R218</f>
        <v>0</v>
      </c>
      <c r="S90" s="173">
        <f>2!S218</f>
        <v>0</v>
      </c>
      <c r="T90" s="173">
        <f>2!T218</f>
        <v>0</v>
      </c>
      <c r="U90" s="173">
        <f>2!U218</f>
        <v>0</v>
      </c>
      <c r="V90" s="173">
        <f>2!V218</f>
        <v>0</v>
      </c>
      <c r="W90" s="173">
        <f>2!W218</f>
        <v>0</v>
      </c>
      <c r="X90" s="173">
        <f>2!X218</f>
        <v>0</v>
      </c>
      <c r="Y90" s="173">
        <f>2!Y218</f>
        <v>0</v>
      </c>
      <c r="Z90" s="173">
        <f>2!Z218</f>
        <v>0</v>
      </c>
      <c r="AA90" s="173">
        <f>2!AA218</f>
        <v>0</v>
      </c>
    </row>
    <row r="91" spans="3:27" ht="12.75">
      <c r="C91" s="174" t="s">
        <v>55</v>
      </c>
      <c r="D91" s="152" t="s">
        <v>52</v>
      </c>
      <c r="H91" s="210"/>
      <c r="I91" s="210"/>
      <c r="J91" s="210"/>
      <c r="K91" s="210"/>
      <c r="L91" s="211"/>
      <c r="M91" s="212"/>
      <c r="N91" s="212"/>
      <c r="O91" s="173">
        <f>2!O219</f>
        <v>0</v>
      </c>
      <c r="P91" s="173">
        <f>2!P219</f>
        <v>0</v>
      </c>
      <c r="Q91" s="173">
        <f>2!Q219</f>
        <v>0</v>
      </c>
      <c r="R91" s="173">
        <f>2!R219</f>
        <v>0</v>
      </c>
      <c r="S91" s="173">
        <f>2!S219</f>
        <v>0</v>
      </c>
      <c r="T91" s="173">
        <f>2!T219</f>
        <v>0</v>
      </c>
      <c r="U91" s="173">
        <f>2!U219</f>
        <v>0</v>
      </c>
      <c r="V91" s="173">
        <f>2!V219</f>
        <v>0</v>
      </c>
      <c r="W91" s="173">
        <f>2!W219</f>
        <v>0</v>
      </c>
      <c r="X91" s="173">
        <f>2!X219</f>
        <v>0</v>
      </c>
      <c r="Y91" s="173">
        <f>2!Y219</f>
        <v>0</v>
      </c>
      <c r="Z91" s="173">
        <f>2!Z219</f>
        <v>0</v>
      </c>
      <c r="AA91" s="173">
        <f>2!AA219</f>
        <v>0</v>
      </c>
    </row>
    <row r="92" spans="3:27" ht="12.75">
      <c r="C92" s="174" t="s">
        <v>56</v>
      </c>
      <c r="D92" s="152" t="s">
        <v>52</v>
      </c>
      <c r="H92" s="210"/>
      <c r="I92" s="210"/>
      <c r="J92" s="210"/>
      <c r="K92" s="210"/>
      <c r="L92" s="211"/>
      <c r="M92" s="212"/>
      <c r="N92" s="212"/>
      <c r="O92" s="173">
        <f>2!O220</f>
        <v>0</v>
      </c>
      <c r="P92" s="173">
        <f>2!P220</f>
        <v>0</v>
      </c>
      <c r="Q92" s="173">
        <f>2!Q220</f>
        <v>0</v>
      </c>
      <c r="R92" s="173">
        <f>2!R220</f>
        <v>0</v>
      </c>
      <c r="S92" s="173">
        <f>2!S220</f>
        <v>0</v>
      </c>
      <c r="T92" s="173">
        <f>2!T220</f>
        <v>0</v>
      </c>
      <c r="U92" s="173">
        <f>2!U220</f>
        <v>0</v>
      </c>
      <c r="V92" s="173">
        <f>2!V220</f>
        <v>0</v>
      </c>
      <c r="W92" s="173">
        <f>2!W220</f>
        <v>0</v>
      </c>
      <c r="X92" s="173">
        <f>2!X220</f>
        <v>0</v>
      </c>
      <c r="Y92" s="173">
        <f>2!Y220</f>
        <v>0</v>
      </c>
      <c r="Z92" s="173">
        <f>2!Z220</f>
        <v>0</v>
      </c>
      <c r="AA92" s="173">
        <f>2!AA220</f>
        <v>0</v>
      </c>
    </row>
    <row r="93" spans="3:27" ht="12.75">
      <c r="C93" s="174" t="s">
        <v>57</v>
      </c>
      <c r="D93" s="152" t="s">
        <v>52</v>
      </c>
      <c r="H93" s="210"/>
      <c r="I93" s="210"/>
      <c r="J93" s="210"/>
      <c r="K93" s="210"/>
      <c r="L93" s="211"/>
      <c r="M93" s="212"/>
      <c r="N93" s="212"/>
      <c r="O93" s="173">
        <f>2!O221</f>
        <v>0</v>
      </c>
      <c r="P93" s="173">
        <f>2!P221</f>
        <v>0</v>
      </c>
      <c r="Q93" s="173">
        <f>2!Q221</f>
        <v>0</v>
      </c>
      <c r="R93" s="173">
        <f>2!R221</f>
        <v>0</v>
      </c>
      <c r="S93" s="173">
        <f>2!S221</f>
        <v>0</v>
      </c>
      <c r="T93" s="173">
        <f>2!T221</f>
        <v>0</v>
      </c>
      <c r="U93" s="173">
        <f>2!U221</f>
        <v>0</v>
      </c>
      <c r="V93" s="173">
        <f>2!V221</f>
        <v>0</v>
      </c>
      <c r="W93" s="173">
        <f>2!W221</f>
        <v>0</v>
      </c>
      <c r="X93" s="173">
        <f>2!X221</f>
        <v>0</v>
      </c>
      <c r="Y93" s="173">
        <f>2!Y221</f>
        <v>0</v>
      </c>
      <c r="Z93" s="173">
        <f>2!Z221</f>
        <v>0</v>
      </c>
      <c r="AA93" s="173">
        <f>2!AA221</f>
        <v>0</v>
      </c>
    </row>
    <row r="94" spans="3:14" ht="12.75">
      <c r="C94" s="207" t="s">
        <v>693</v>
      </c>
      <c r="H94" s="542" t="s">
        <v>273</v>
      </c>
      <c r="I94" s="542"/>
      <c r="J94" s="542"/>
      <c r="K94" s="542"/>
      <c r="L94" s="542" t="s">
        <v>272</v>
      </c>
      <c r="M94" s="542"/>
      <c r="N94" s="542"/>
    </row>
    <row r="95" spans="3:27" ht="12.75">
      <c r="C95" s="174" t="s">
        <v>54</v>
      </c>
      <c r="D95" s="152" t="s">
        <v>52</v>
      </c>
      <c r="H95" s="210"/>
      <c r="I95" s="210"/>
      <c r="J95" s="210"/>
      <c r="K95" s="210"/>
      <c r="L95" s="211"/>
      <c r="M95" s="212"/>
      <c r="N95" s="212"/>
      <c r="O95" s="173">
        <f>O90*$E13*($E$7-$E$8)*2!$F$26</f>
        <v>0</v>
      </c>
      <c r="P95" s="173">
        <f>P90*$E13*($E$7-$E$8)*2!$F$26</f>
        <v>0</v>
      </c>
      <c r="Q95" s="173">
        <f>Q90*$E13*($E$7-$E$8)*2!$F$26</f>
        <v>0</v>
      </c>
      <c r="R95" s="173">
        <f>R90*$E13*($E$7-$E$8)*2!$F$26</f>
        <v>0</v>
      </c>
      <c r="S95" s="173">
        <f>S90*$E13*($E$7-$E$8)*2!$F$26</f>
        <v>0</v>
      </c>
      <c r="T95" s="173">
        <f>T90*$E13*($E$7-$E$8)*2!$F$26</f>
        <v>0</v>
      </c>
      <c r="U95" s="173">
        <f>U90*$E13*($E$7-$E$8)*2!$F$26</f>
        <v>0</v>
      </c>
      <c r="V95" s="173">
        <f>V90*$E13*($E$7-$E$8)*2!$F$26</f>
        <v>0</v>
      </c>
      <c r="W95" s="173">
        <f>W90*$E13*($E$7-$E$8)*2!$F$26</f>
        <v>0</v>
      </c>
      <c r="X95" s="173">
        <f>X90*$E13*($E$7-$E$8)*2!$F$26</f>
        <v>0</v>
      </c>
      <c r="Y95" s="173">
        <f>Y90*$E13*($E$7-$E$8)*2!$F$26</f>
        <v>0</v>
      </c>
      <c r="Z95" s="173">
        <f>Z90*$E13*($E$7-$E$8)*2!$F$26</f>
        <v>0</v>
      </c>
      <c r="AA95" s="173">
        <f>AA90*$E13*($E$7-$E$8)*2!$F$26</f>
        <v>0</v>
      </c>
    </row>
    <row r="96" spans="3:27" ht="12.75">
      <c r="C96" s="174" t="s">
        <v>55</v>
      </c>
      <c r="D96" s="152" t="s">
        <v>52</v>
      </c>
      <c r="H96" s="210"/>
      <c r="I96" s="210"/>
      <c r="J96" s="210"/>
      <c r="K96" s="210"/>
      <c r="L96" s="211"/>
      <c r="M96" s="212"/>
      <c r="N96" s="212"/>
      <c r="O96" s="173">
        <f>O91*$E14*($E$7-$E$8)*2!$F$26</f>
        <v>0</v>
      </c>
      <c r="P96" s="173">
        <f>P91*$E14*($E$7-$E$8)*2!$F$26</f>
        <v>0</v>
      </c>
      <c r="Q96" s="173">
        <f>Q91*$E14*($E$7-$E$8)*2!$F$26</f>
        <v>0</v>
      </c>
      <c r="R96" s="173">
        <f>R91*$E14*($E$7-$E$8)*2!$F$26</f>
        <v>0</v>
      </c>
      <c r="S96" s="173">
        <f>S91*$E14*($E$7-$E$8)*2!$F$26</f>
        <v>0</v>
      </c>
      <c r="T96" s="173">
        <f>T91*$E14*($E$7-$E$8)*2!$F$26</f>
        <v>0</v>
      </c>
      <c r="U96" s="173">
        <f>U91*$E14*($E$7-$E$8)*2!$F$26</f>
        <v>0</v>
      </c>
      <c r="V96" s="173">
        <f>V91*$E14*($E$7-$E$8)*2!$F$26</f>
        <v>0</v>
      </c>
      <c r="W96" s="173">
        <f>W91*$E14*($E$7-$E$8)*2!$F$26</f>
        <v>0</v>
      </c>
      <c r="X96" s="173">
        <f>X91*$E14*($E$7-$E$8)*2!$F$26</f>
        <v>0</v>
      </c>
      <c r="Y96" s="173">
        <f>Y91*$E14*($E$7-$E$8)*2!$F$26</f>
        <v>0</v>
      </c>
      <c r="Z96" s="173">
        <f>Z91*$E14*($E$7-$E$8)*2!$F$26</f>
        <v>0</v>
      </c>
      <c r="AA96" s="173">
        <f>AA91*$E14*($E$7-$E$8)*2!$F$26</f>
        <v>0</v>
      </c>
    </row>
    <row r="97" spans="3:27" ht="12.75">
      <c r="C97" s="174" t="s">
        <v>56</v>
      </c>
      <c r="D97" s="152" t="s">
        <v>52</v>
      </c>
      <c r="H97" s="210"/>
      <c r="I97" s="210"/>
      <c r="J97" s="210"/>
      <c r="K97" s="210"/>
      <c r="L97" s="211"/>
      <c r="M97" s="212"/>
      <c r="N97" s="212"/>
      <c r="O97" s="173">
        <f>O92*$E15*($E$7-$E$8)*2!$F$26</f>
        <v>0</v>
      </c>
      <c r="P97" s="173">
        <f>P92*$E15*($E$7-$E$8)*2!$F$26</f>
        <v>0</v>
      </c>
      <c r="Q97" s="173">
        <f>Q92*$E15*($E$7-$E$8)*2!$F$26</f>
        <v>0</v>
      </c>
      <c r="R97" s="173">
        <f>R92*$E15*($E$7-$E$8)*2!$F$26</f>
        <v>0</v>
      </c>
      <c r="S97" s="173">
        <f>S92*$E15*($E$7-$E$8)*2!$F$26</f>
        <v>0</v>
      </c>
      <c r="T97" s="173">
        <f>T92*$E15*($E$7-$E$8)*2!$F$26</f>
        <v>0</v>
      </c>
      <c r="U97" s="173">
        <f>U92*$E15*($E$7-$E$8)*2!$F$26</f>
        <v>0</v>
      </c>
      <c r="V97" s="173">
        <f>V92*$E15*($E$7-$E$8)*2!$F$26</f>
        <v>0</v>
      </c>
      <c r="W97" s="173">
        <f>W92*$E15*($E$7-$E$8)*2!$F$26</f>
        <v>0</v>
      </c>
      <c r="X97" s="173">
        <f>X92*$E15*($E$7-$E$8)*2!$F$26</f>
        <v>0</v>
      </c>
      <c r="Y97" s="173">
        <f>Y92*$E15*($E$7-$E$8)*2!$F$26</f>
        <v>0</v>
      </c>
      <c r="Z97" s="173">
        <f>Z92*$E15*($E$7-$E$8)*2!$F$26</f>
        <v>0</v>
      </c>
      <c r="AA97" s="173">
        <f>AA92*$E15*($E$7-$E$8)*2!$F$26</f>
        <v>0</v>
      </c>
    </row>
    <row r="98" spans="3:27" ht="12.75">
      <c r="C98" s="174" t="s">
        <v>57</v>
      </c>
      <c r="D98" s="152" t="s">
        <v>52</v>
      </c>
      <c r="H98" s="210"/>
      <c r="I98" s="210"/>
      <c r="J98" s="210"/>
      <c r="K98" s="210"/>
      <c r="L98" s="211"/>
      <c r="M98" s="212"/>
      <c r="N98" s="212"/>
      <c r="O98" s="173">
        <f>O93*$E16*($E$7-$E$8)*2!$F$26</f>
        <v>0</v>
      </c>
      <c r="P98" s="173">
        <f>P93*$E16*($E$7-$E$8)*2!$F$26</f>
        <v>0</v>
      </c>
      <c r="Q98" s="173">
        <f>Q93*$E16*($E$7-$E$8)*2!$F$26</f>
        <v>0</v>
      </c>
      <c r="R98" s="173">
        <f>R93*$E16*($E$7-$E$8)*2!$F$26</f>
        <v>0</v>
      </c>
      <c r="S98" s="173">
        <f>S93*$E16*($E$7-$E$8)*2!$F$26</f>
        <v>0</v>
      </c>
      <c r="T98" s="173">
        <f>T93*$E16*($E$7-$E$8)*2!$F$26</f>
        <v>0</v>
      </c>
      <c r="U98" s="173">
        <f>U93*$E16*($E$7-$E$8)*2!$F$26</f>
        <v>0</v>
      </c>
      <c r="V98" s="173">
        <f>V93*$E16*($E$7-$E$8)*2!$F$26</f>
        <v>0</v>
      </c>
      <c r="W98" s="173">
        <f>W93*$E16*($E$7-$E$8)*2!$F$26</f>
        <v>0</v>
      </c>
      <c r="X98" s="173">
        <f>X93*$E16*($E$7-$E$8)*2!$F$26</f>
        <v>0</v>
      </c>
      <c r="Y98" s="173">
        <f>Y93*$E16*($E$7-$E$8)*2!$F$26</f>
        <v>0</v>
      </c>
      <c r="Z98" s="173">
        <f>Z93*$E16*($E$7-$E$8)*2!$F$26</f>
        <v>0</v>
      </c>
      <c r="AA98" s="173">
        <f>AA93*$E16*($E$7-$E$8)*2!$F$26</f>
        <v>0</v>
      </c>
    </row>
    <row r="99" spans="3:27" ht="12.75">
      <c r="C99" s="174"/>
      <c r="G99" s="500"/>
      <c r="H99" s="500"/>
      <c r="I99" s="500"/>
      <c r="J99" s="500"/>
      <c r="K99" s="500"/>
      <c r="L99" s="500"/>
      <c r="M99" s="500"/>
      <c r="N99" s="500"/>
      <c r="O99" s="500">
        <f>SUM(O95:O98)</f>
        <v>0</v>
      </c>
      <c r="P99" s="500">
        <f aca="true" t="shared" si="21" ref="P99:Z99">SUM(P95:P98)</f>
        <v>0</v>
      </c>
      <c r="Q99" s="500">
        <f t="shared" si="21"/>
        <v>0</v>
      </c>
      <c r="R99" s="500">
        <f t="shared" si="21"/>
        <v>0</v>
      </c>
      <c r="S99" s="500">
        <f t="shared" si="21"/>
        <v>0</v>
      </c>
      <c r="T99" s="500">
        <f t="shared" si="21"/>
        <v>0</v>
      </c>
      <c r="U99" s="500">
        <f t="shared" si="21"/>
        <v>0</v>
      </c>
      <c r="V99" s="500">
        <f t="shared" si="21"/>
        <v>0</v>
      </c>
      <c r="W99" s="500">
        <f t="shared" si="21"/>
        <v>0</v>
      </c>
      <c r="X99" s="500">
        <f t="shared" si="21"/>
        <v>0</v>
      </c>
      <c r="Y99" s="500">
        <f t="shared" si="21"/>
        <v>0</v>
      </c>
      <c r="Z99" s="500">
        <f t="shared" si="21"/>
        <v>0</v>
      </c>
      <c r="AA99" s="500">
        <f>SUM(AA95:AA98)</f>
        <v>0</v>
      </c>
    </row>
    <row r="100" spans="3:27" ht="12.75">
      <c r="C100" s="174"/>
      <c r="G100" s="173"/>
      <c r="H100" s="173"/>
      <c r="I100" s="173"/>
      <c r="J100" s="173"/>
      <c r="K100" s="173"/>
      <c r="L100" s="173"/>
      <c r="M100" s="173"/>
      <c r="N100" s="173"/>
      <c r="O100" s="173"/>
      <c r="P100" s="173"/>
      <c r="Q100" s="173"/>
      <c r="R100" s="173"/>
      <c r="S100" s="173"/>
      <c r="T100" s="173"/>
      <c r="U100" s="173"/>
      <c r="V100" s="173"/>
      <c r="W100" s="173"/>
      <c r="X100" s="173"/>
      <c r="Y100" s="173"/>
      <c r="Z100" s="173"/>
      <c r="AA100" s="173"/>
    </row>
    <row r="101" spans="3:27" ht="12.75">
      <c r="C101" s="207" t="s">
        <v>249</v>
      </c>
      <c r="D101" s="208" t="s">
        <v>52</v>
      </c>
      <c r="E101" s="208"/>
      <c r="F101" s="208"/>
      <c r="G101" s="209"/>
      <c r="H101" s="209"/>
      <c r="I101" s="209"/>
      <c r="J101" s="209"/>
      <c r="K101" s="209"/>
      <c r="L101" s="209">
        <f>SUM(L70,L87,L99)*1!L$4</f>
        <v>0</v>
      </c>
      <c r="M101" s="209">
        <f>SUM(M70,M87,M99)*1!M$4</f>
        <v>0</v>
      </c>
      <c r="N101" s="209">
        <f>SUM(N70,N87,N99)*1!N$4</f>
        <v>0</v>
      </c>
      <c r="O101" s="209">
        <f>SUM(O70,O87,O99)*1!O$4</f>
        <v>0</v>
      </c>
      <c r="P101" s="209">
        <f>SUM(P70,P87,P99)*1!P$4</f>
        <v>0</v>
      </c>
      <c r="Q101" s="209">
        <f>SUM(Q70,Q87,Q99)*1!Q$4</f>
        <v>0</v>
      </c>
      <c r="R101" s="209">
        <f>SUM(R70,R87,R99)*1!R$4</f>
        <v>0</v>
      </c>
      <c r="S101" s="209">
        <f>SUM(S70,S87,S99)*1!S$4</f>
        <v>0</v>
      </c>
      <c r="T101" s="209">
        <f>SUM(T70,T87,T99)*1!T$4</f>
        <v>0</v>
      </c>
      <c r="U101" s="209">
        <f>SUM(U70,U87,U99)*1!U$4</f>
        <v>0</v>
      </c>
      <c r="V101" s="209">
        <f>SUM(V70,V87,V99)*1!V$4</f>
        <v>0</v>
      </c>
      <c r="W101" s="209">
        <f>SUM(W70,W87,W99)*1!W$4</f>
        <v>0</v>
      </c>
      <c r="X101" s="209">
        <f>SUM(X70,X87,X99)*1!X$4</f>
        <v>0</v>
      </c>
      <c r="Y101" s="209">
        <f>SUM(Y70,Y87,Y99)*1!Y$4</f>
        <v>0</v>
      </c>
      <c r="Z101" s="209">
        <f>SUM(Z70,Z87,Z99)*1!Z$4</f>
        <v>0</v>
      </c>
      <c r="AA101" s="209">
        <f>SUM(AA70,AA87,AA99)*1!AA$4</f>
        <v>0</v>
      </c>
    </row>
  </sheetData>
  <sheetProtection/>
  <mergeCells count="16">
    <mergeCell ref="H81:K81"/>
    <mergeCell ref="L81:N81"/>
    <mergeCell ref="H89:K89"/>
    <mergeCell ref="L89:N89"/>
    <mergeCell ref="H94:K94"/>
    <mergeCell ref="L94:N94"/>
    <mergeCell ref="H58:K58"/>
    <mergeCell ref="H65:K65"/>
    <mergeCell ref="H74:K74"/>
    <mergeCell ref="L74:N74"/>
    <mergeCell ref="H22:K22"/>
    <mergeCell ref="H30:K30"/>
    <mergeCell ref="H39:K39"/>
    <mergeCell ref="L39:N39"/>
    <mergeCell ref="H47:K47"/>
    <mergeCell ref="L47:N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6"/>
  <sheetViews>
    <sheetView zoomScale="55" zoomScaleNormal="55" zoomScalePageLayoutView="0" workbookViewId="0" topLeftCell="D2">
      <selection activeCell="B93" sqref="B93"/>
    </sheetView>
  </sheetViews>
  <sheetFormatPr defaultColWidth="9.00390625" defaultRowHeight="15.75"/>
  <cols>
    <col min="1" max="1" width="2.375" style="435" customWidth="1"/>
    <col min="2" max="2" width="1.875" style="435" hidden="1" customWidth="1"/>
    <col min="3" max="3" width="33.625" style="435" customWidth="1"/>
    <col min="4" max="4" width="5.375" style="435" customWidth="1"/>
    <col min="5" max="6" width="8.75390625" style="435" hidden="1" customWidth="1"/>
    <col min="7" max="7" width="11.875" style="435" bestFit="1"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vai profesionālās kultūrizglītības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222</v>
      </c>
      <c r="C4" s="219" t="s">
        <v>590</v>
      </c>
    </row>
    <row r="5" spans="3:28" s="152" customFormat="1" ht="12.75">
      <c r="C5" s="152" t="s">
        <v>599</v>
      </c>
      <c r="G5" s="438">
        <f>Dati!C10</f>
        <v>0</v>
      </c>
      <c r="H5" s="438">
        <f>Dati!D10</f>
        <v>0</v>
      </c>
      <c r="I5" s="438">
        <f>Dati!E10</f>
        <v>0</v>
      </c>
      <c r="J5" s="438">
        <f>Dati!F10</f>
        <v>0</v>
      </c>
      <c r="K5" s="438">
        <f>Dati!G10</f>
        <v>0</v>
      </c>
      <c r="L5" s="438">
        <f>Dati!H10</f>
        <v>0</v>
      </c>
      <c r="M5" s="438">
        <f>Dati!I10</f>
        <v>0</v>
      </c>
      <c r="N5" s="438">
        <f>Dati!J10</f>
        <v>0</v>
      </c>
      <c r="O5" s="438">
        <f>Dati!K10</f>
        <v>0</v>
      </c>
      <c r="P5" s="438">
        <f>Dati!L10</f>
        <v>0</v>
      </c>
      <c r="Q5" s="438">
        <f>Dati!M10</f>
        <v>0</v>
      </c>
      <c r="R5" s="438">
        <f>Dati!N10</f>
        <v>0</v>
      </c>
      <c r="S5" s="438">
        <f>Dati!O10</f>
        <v>0</v>
      </c>
      <c r="T5" s="438">
        <f>Dati!P10</f>
        <v>0</v>
      </c>
      <c r="U5" s="438">
        <f>Dati!Q10</f>
        <v>0</v>
      </c>
      <c r="V5" s="438">
        <f>Dati!R10</f>
        <v>0</v>
      </c>
      <c r="W5" s="438">
        <f>Dati!S10</f>
        <v>0</v>
      </c>
      <c r="X5" s="438">
        <f>Dati!T10</f>
        <v>0</v>
      </c>
      <c r="Y5" s="438">
        <f>Dati!U10</f>
        <v>0</v>
      </c>
      <c r="Z5" s="438">
        <f>Dati!V10</f>
        <v>0</v>
      </c>
      <c r="AA5" s="438">
        <f>Dati!W10</f>
        <v>0</v>
      </c>
      <c r="AB5" s="438">
        <f>SUM(G5:Z5)</f>
        <v>0</v>
      </c>
    </row>
    <row r="6" spans="3:28" s="152" customFormat="1" ht="12.75">
      <c r="C6" s="152" t="s">
        <v>600</v>
      </c>
      <c r="G6" s="438">
        <f>G5*Pieņēmumi!$C$4*Pieņēmumi!$C$5</f>
        <v>0</v>
      </c>
      <c r="H6" s="438">
        <f>H5*Pieņēmumi!$C$4*Pieņēmumi!$C$5</f>
        <v>0</v>
      </c>
      <c r="I6" s="438">
        <f>I5*Pieņēmumi!$C$4*Pieņēmumi!$C$5</f>
        <v>0</v>
      </c>
      <c r="J6" s="438">
        <f>J5*Pieņēmumi!$C$4*Pieņēmumi!$C$5</f>
        <v>0</v>
      </c>
      <c r="K6" s="438">
        <f>K5*Pieņēmumi!$C$4*Pieņēmumi!$C$5</f>
        <v>0</v>
      </c>
      <c r="L6" s="438">
        <f>L5*Pieņēmumi!$C$4*Pieņēmumi!$C$5</f>
        <v>0</v>
      </c>
      <c r="M6" s="438">
        <f>M5*Pieņēmumi!$C$4*Pieņēmumi!$C$5</f>
        <v>0</v>
      </c>
      <c r="N6" s="438">
        <f>N5*Pieņēmumi!$C$4*Pieņēmumi!$C$5</f>
        <v>0</v>
      </c>
      <c r="O6" s="438">
        <f>O5*Pieņēmumi!$C$4*Pieņēmumi!$C$5</f>
        <v>0</v>
      </c>
      <c r="P6" s="438">
        <f>P5*Pieņēmumi!$C$4*Pieņēmumi!$C$5</f>
        <v>0</v>
      </c>
      <c r="Q6" s="438">
        <f>Q5*Pieņēmumi!$C$4*Pieņēmumi!$C$5</f>
        <v>0</v>
      </c>
      <c r="R6" s="438">
        <f>R5*Pieņēmumi!$C$4*Pieņēmumi!$C$5</f>
        <v>0</v>
      </c>
      <c r="S6" s="438">
        <f>S5*Pieņēmumi!$C$4*Pieņēmumi!$C$5</f>
        <v>0</v>
      </c>
      <c r="T6" s="438">
        <f>T5*Pieņēmumi!$C$4*Pieņēmumi!$C$5</f>
        <v>0</v>
      </c>
      <c r="U6" s="438">
        <f>U5*Pieņēmumi!$C$4*Pieņēmumi!$C$5</f>
        <v>0</v>
      </c>
      <c r="V6" s="438">
        <f>V5*Pieņēmumi!$C$4*Pieņēmumi!$C$5</f>
        <v>0</v>
      </c>
      <c r="W6" s="438">
        <f>W5*Pieņēmumi!$C$4*Pieņēmumi!$C$5</f>
        <v>0</v>
      </c>
      <c r="X6" s="438">
        <f>X5*Pieņēmumi!$C$4*Pieņēmumi!$C$5</f>
        <v>0</v>
      </c>
      <c r="Y6" s="438">
        <f>Y5*Pieņēmumi!$C$4*Pieņēmumi!$C$5</f>
        <v>0</v>
      </c>
      <c r="Z6" s="438">
        <f>Z5*Pieņēmumi!$C$4*Pieņēmumi!$C$5</f>
        <v>0</v>
      </c>
      <c r="AA6" s="438">
        <f>AA5*Pieņēmumi!$C$4*Pieņēmumi!$C$5</f>
        <v>0</v>
      </c>
      <c r="AB6" s="438">
        <f>SUM(G6:Z6)</f>
        <v>0</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2"/>
  <sheetViews>
    <sheetView zoomScale="55" zoomScaleNormal="55" zoomScalePageLayoutView="0" workbookViewId="0" topLeftCell="G22">
      <selection activeCell="B93" sqref="B93"/>
    </sheetView>
  </sheetViews>
  <sheetFormatPr defaultColWidth="9.00390625" defaultRowHeight="15.75"/>
  <cols>
    <col min="1" max="1" width="2.375" style="435" customWidth="1"/>
    <col min="2" max="2" width="1.875" style="435" hidden="1" customWidth="1"/>
    <col min="3" max="3" width="117.50390625" style="435" customWidth="1"/>
    <col min="4" max="4" width="5.375" style="435" customWidth="1"/>
    <col min="5" max="6" width="8.75390625" style="435" hidden="1" customWidth="1"/>
    <col min="7" max="7" width="11.875" style="435"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vai profesionālās kultūrizglītības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680</v>
      </c>
      <c r="C4" s="219" t="s">
        <v>699</v>
      </c>
    </row>
    <row r="5" spans="3:12" ht="15">
      <c r="C5" s="269" t="s">
        <v>310</v>
      </c>
      <c r="H5" s="542" t="s">
        <v>273</v>
      </c>
      <c r="I5" s="542"/>
      <c r="J5" s="542"/>
      <c r="K5" s="542"/>
      <c r="L5" s="435" t="s">
        <v>709</v>
      </c>
    </row>
    <row r="6" spans="3:27" ht="15">
      <c r="C6" s="415" t="s">
        <v>54</v>
      </c>
      <c r="H6" s="210"/>
      <c r="I6" s="210"/>
      <c r="J6" s="210"/>
      <c r="K6" s="210"/>
      <c r="L6" s="210">
        <v>0</v>
      </c>
      <c r="M6" s="505">
        <f>(2!M61-2!M32)*2!$F$113+L6</f>
        <v>0</v>
      </c>
      <c r="N6" s="505">
        <f>(2!N61-2!N32)*2!$F$113+M6</f>
        <v>0</v>
      </c>
      <c r="O6" s="505">
        <f>(2!O61-2!O32)*2!$F$113+N6</f>
        <v>0</v>
      </c>
      <c r="P6" s="505">
        <f>(2!P61-2!P32)*2!$F$113+O6</f>
        <v>0</v>
      </c>
      <c r="Q6" s="505">
        <f>(2!Q61-2!Q32)*2!$F$113+P6</f>
        <v>0</v>
      </c>
      <c r="R6" s="505">
        <f>(2!R61-2!R32)*2!$F$113+Q6</f>
        <v>0</v>
      </c>
      <c r="S6" s="505">
        <f>(2!S61-2!S32)*2!$F$113+R6</f>
        <v>0</v>
      </c>
      <c r="T6" s="505">
        <f>(2!T61-2!T32)*2!$F$113+S6</f>
        <v>0</v>
      </c>
      <c r="U6" s="505">
        <f>(2!U61-2!U32)*2!$F$113+T6</f>
        <v>0</v>
      </c>
      <c r="V6" s="505">
        <f>(2!V61-2!V32)*2!$F$113+U6</f>
        <v>0</v>
      </c>
      <c r="W6" s="505">
        <f>(2!W61-2!W32)*2!$F$113+V6</f>
        <v>0</v>
      </c>
      <c r="X6" s="505">
        <f>(2!X61-2!X32)*2!$F$113+W6</f>
        <v>0</v>
      </c>
      <c r="Y6" s="505">
        <f>(2!Y61-2!Y32)*2!$F$113+X6</f>
        <v>0</v>
      </c>
      <c r="Z6" s="505">
        <f>(2!Z61-2!Z32)*2!$F$113+Y6</f>
        <v>0</v>
      </c>
      <c r="AA6" s="505">
        <f>(2!AA61-2!AA32)*2!$F$113+Z6</f>
        <v>0</v>
      </c>
    </row>
    <row r="7" spans="3:27" ht="15">
      <c r="C7" s="415" t="s">
        <v>55</v>
      </c>
      <c r="H7" s="210"/>
      <c r="I7" s="210"/>
      <c r="J7" s="210"/>
      <c r="K7" s="210"/>
      <c r="L7" s="210">
        <v>0</v>
      </c>
      <c r="M7" s="505">
        <f>(2!M62-2!M33)*2!$F$113+L7</f>
        <v>0</v>
      </c>
      <c r="N7" s="505">
        <f>(2!N62-2!N33)*2!$F$113+M7</f>
        <v>0</v>
      </c>
      <c r="O7" s="505">
        <f>(2!O62-2!O33)*2!$F$113+N7</f>
        <v>0</v>
      </c>
      <c r="P7" s="505">
        <f>(2!P62-2!P33)*2!$F$113+O7</f>
        <v>0</v>
      </c>
      <c r="Q7" s="505">
        <f>(2!Q62-2!Q33)*2!$F$113+P7</f>
        <v>0</v>
      </c>
      <c r="R7" s="505">
        <f>(2!R62-2!R33)*2!$F$113+Q7</f>
        <v>0</v>
      </c>
      <c r="S7" s="505">
        <f>(2!S62-2!S33)*2!$F$113+R7</f>
        <v>0</v>
      </c>
      <c r="T7" s="505">
        <f>(2!T62-2!T33)*2!$F$113+S7</f>
        <v>0</v>
      </c>
      <c r="U7" s="505">
        <f>(2!U62-2!U33)*2!$F$113+T7</f>
        <v>0</v>
      </c>
      <c r="V7" s="505">
        <f>(2!V62-2!V33)*2!$F$113+U7</f>
        <v>0</v>
      </c>
      <c r="W7" s="505">
        <f>(2!W62-2!W33)*2!$F$113+V7</f>
        <v>0</v>
      </c>
      <c r="X7" s="505">
        <f>(2!X62-2!X33)*2!$F$113+W7</f>
        <v>0</v>
      </c>
      <c r="Y7" s="505">
        <f>(2!Y62-2!Y33)*2!$F$113+X7</f>
        <v>0</v>
      </c>
      <c r="Z7" s="505">
        <f>(2!Z62-2!Z33)*2!$F$113+Y7</f>
        <v>0</v>
      </c>
      <c r="AA7" s="505">
        <f>(2!AA62-2!AA33)*2!$F$113+Z7</f>
        <v>0</v>
      </c>
    </row>
    <row r="8" spans="3:27" ht="25.5">
      <c r="C8" s="415" t="s">
        <v>56</v>
      </c>
      <c r="H8" s="210"/>
      <c r="I8" s="210"/>
      <c r="J8" s="210"/>
      <c r="K8" s="210"/>
      <c r="L8" s="210">
        <v>0</v>
      </c>
      <c r="M8" s="505">
        <f>(2!M63-2!M34)*2!$F$113+L8</f>
        <v>0</v>
      </c>
      <c r="N8" s="505">
        <f>(2!N63-2!N34)*2!$F$113+M8</f>
        <v>0</v>
      </c>
      <c r="O8" s="505">
        <f>(2!O63-2!O34)*2!$F$113+N8</f>
        <v>0</v>
      </c>
      <c r="P8" s="505">
        <f>(2!P63-2!P34)*2!$F$113+O8</f>
        <v>0</v>
      </c>
      <c r="Q8" s="505">
        <f>(2!Q63-2!Q34)*2!$F$113+P8</f>
        <v>0</v>
      </c>
      <c r="R8" s="505">
        <f>(2!R63-2!R34)*2!$F$113+Q8</f>
        <v>0</v>
      </c>
      <c r="S8" s="505">
        <f>(2!S63-2!S34)*2!$F$113+R8</f>
        <v>0</v>
      </c>
      <c r="T8" s="505">
        <f>(2!T63-2!T34)*2!$F$113+S8</f>
        <v>0</v>
      </c>
      <c r="U8" s="505">
        <f>(2!U63-2!U34)*2!$F$113+T8</f>
        <v>0</v>
      </c>
      <c r="V8" s="505">
        <f>(2!V63-2!V34)*2!$F$113+U8</f>
        <v>0</v>
      </c>
      <c r="W8" s="505">
        <f>(2!W63-2!W34)*2!$F$113+V8</f>
        <v>0</v>
      </c>
      <c r="X8" s="505">
        <f>(2!X63-2!X34)*2!$F$113+W8</f>
        <v>0</v>
      </c>
      <c r="Y8" s="505">
        <f>(2!Y63-2!Y34)*2!$F$113+X8</f>
        <v>0</v>
      </c>
      <c r="Z8" s="505">
        <f>(2!Z63-2!Z34)*2!$F$113+Y8</f>
        <v>0</v>
      </c>
      <c r="AA8" s="505">
        <f>(2!AA63-2!AA34)*2!$F$113+Z8</f>
        <v>0</v>
      </c>
    </row>
    <row r="9" spans="3:27" ht="25.5">
      <c r="C9" s="415" t="s">
        <v>672</v>
      </c>
      <c r="H9" s="210"/>
      <c r="I9" s="210"/>
      <c r="J9" s="210"/>
      <c r="K9" s="210"/>
      <c r="L9" s="210">
        <v>0</v>
      </c>
      <c r="M9" s="505">
        <f>(2!M64-2!M35)*2!$F$113+L9</f>
        <v>0</v>
      </c>
      <c r="N9" s="505">
        <f>(2!N64-2!N35)*2!$F$113+M9</f>
        <v>0</v>
      </c>
      <c r="O9" s="505">
        <f>(2!O64-2!O35)*2!$F$113+N9</f>
        <v>0</v>
      </c>
      <c r="P9" s="505">
        <f>(2!P64-2!P35)*2!$F$113+O9</f>
        <v>0</v>
      </c>
      <c r="Q9" s="505">
        <f>(2!Q64-2!Q35)*2!$F$113+P9</f>
        <v>0</v>
      </c>
      <c r="R9" s="505">
        <f>(2!R64-2!R35)*2!$F$113+Q9</f>
        <v>0</v>
      </c>
      <c r="S9" s="505">
        <f>(2!S64-2!S35)*2!$F$113+R9</f>
        <v>0</v>
      </c>
      <c r="T9" s="505">
        <f>(2!T64-2!T35)*2!$F$113+S9</f>
        <v>0</v>
      </c>
      <c r="U9" s="505">
        <f>(2!U64-2!U35)*2!$F$113+T9</f>
        <v>0</v>
      </c>
      <c r="V9" s="505">
        <f>(2!V64-2!V35)*2!$F$113+U9</f>
        <v>0</v>
      </c>
      <c r="W9" s="505">
        <f>(2!W64-2!W35)*2!$F$113+V9</f>
        <v>0</v>
      </c>
      <c r="X9" s="505">
        <f>(2!X64-2!X35)*2!$F$113+W9</f>
        <v>0</v>
      </c>
      <c r="Y9" s="505">
        <f>(2!Y64-2!Y35)*2!$F$113+X9</f>
        <v>0</v>
      </c>
      <c r="Z9" s="505">
        <f>(2!Z64-2!Z35)*2!$F$113+Y9</f>
        <v>0</v>
      </c>
      <c r="AA9" s="505">
        <f>(2!AA64-2!AA35)*2!$F$113+Z9</f>
        <v>0</v>
      </c>
    </row>
    <row r="10" spans="3:12" ht="15">
      <c r="C10" s="269" t="s">
        <v>567</v>
      </c>
      <c r="H10" s="542" t="s">
        <v>273</v>
      </c>
      <c r="I10" s="542"/>
      <c r="J10" s="542"/>
      <c r="K10" s="542"/>
      <c r="L10" s="435" t="s">
        <v>709</v>
      </c>
    </row>
    <row r="11" spans="3:27" ht="15">
      <c r="C11" s="415" t="s">
        <v>54</v>
      </c>
      <c r="H11" s="210"/>
      <c r="I11" s="210"/>
      <c r="J11" s="210"/>
      <c r="K11" s="210"/>
      <c r="L11" s="210">
        <v>0</v>
      </c>
      <c r="M11" s="505">
        <f>(2!M61-2!M32)*2!$F$114+L11</f>
        <v>0</v>
      </c>
      <c r="N11" s="505">
        <f>(2!N61-2!N32)*2!$F$114+M11</f>
        <v>0</v>
      </c>
      <c r="O11" s="505">
        <f>(2!O61-2!O32)*2!$F$114+N11</f>
        <v>0</v>
      </c>
      <c r="P11" s="505">
        <f>(2!P61-2!P32)*2!$F$114+O11</f>
        <v>0</v>
      </c>
      <c r="Q11" s="505">
        <f>(2!Q61-2!Q32)*2!$F$114+P11</f>
        <v>0</v>
      </c>
      <c r="R11" s="505">
        <f>(2!R61-2!R32)*2!$F$114+Q11</f>
        <v>0</v>
      </c>
      <c r="S11" s="505">
        <f>(2!S61-2!S32)*2!$F$114+R11</f>
        <v>0</v>
      </c>
      <c r="T11" s="505">
        <f>(2!T61-2!T32)*2!$F$114+S11</f>
        <v>0</v>
      </c>
      <c r="U11" s="505">
        <f>(2!U61-2!U32)*2!$F$114+T11</f>
        <v>0</v>
      </c>
      <c r="V11" s="505">
        <f>(2!V61-2!V32)*2!$F$114+U11</f>
        <v>0</v>
      </c>
      <c r="W11" s="505">
        <f>(2!W61-2!W32)*2!$F$114+V11</f>
        <v>0</v>
      </c>
      <c r="X11" s="505">
        <f>(2!X61-2!X32)*2!$F$114+W11</f>
        <v>0</v>
      </c>
      <c r="Y11" s="505">
        <f>(2!Y61-2!Y32)*2!$F$114+X11</f>
        <v>0</v>
      </c>
      <c r="Z11" s="505">
        <f>(2!Z61-2!Z32)*2!$F$114+Y11</f>
        <v>0</v>
      </c>
      <c r="AA11" s="505">
        <f>(2!AA61-2!AA32)*2!$F$114+Z11</f>
        <v>0</v>
      </c>
    </row>
    <row r="12" spans="3:27" ht="15">
      <c r="C12" s="415" t="s">
        <v>55</v>
      </c>
      <c r="H12" s="210"/>
      <c r="I12" s="210"/>
      <c r="J12" s="210"/>
      <c r="K12" s="210"/>
      <c r="L12" s="210">
        <v>0</v>
      </c>
      <c r="M12" s="505">
        <f>(2!M62-2!M33)*2!$F$114+L12</f>
        <v>0</v>
      </c>
      <c r="N12" s="505">
        <f>(2!N62-2!N33)*2!$F$114+M12</f>
        <v>0</v>
      </c>
      <c r="O12" s="505">
        <f>(2!O62-2!O33)*2!$F$114+N12</f>
        <v>0</v>
      </c>
      <c r="P12" s="505">
        <f>(2!P62-2!P33)*2!$F$114+O12</f>
        <v>0</v>
      </c>
      <c r="Q12" s="505">
        <f>(2!Q62-2!Q33)*2!$F$114+P12</f>
        <v>0</v>
      </c>
      <c r="R12" s="505">
        <f>(2!R62-2!R33)*2!$F$114+Q12</f>
        <v>0</v>
      </c>
      <c r="S12" s="505">
        <f>(2!S62-2!S33)*2!$F$114+R12</f>
        <v>0</v>
      </c>
      <c r="T12" s="505">
        <f>(2!T62-2!T33)*2!$F$114+S12</f>
        <v>0</v>
      </c>
      <c r="U12" s="505">
        <f>(2!U62-2!U33)*2!$F$114+T12</f>
        <v>0</v>
      </c>
      <c r="V12" s="505">
        <f>(2!V62-2!V33)*2!$F$114+U12</f>
        <v>0</v>
      </c>
      <c r="W12" s="505">
        <f>(2!W62-2!W33)*2!$F$114+V12</f>
        <v>0</v>
      </c>
      <c r="X12" s="505">
        <f>(2!X62-2!X33)*2!$F$114+W12</f>
        <v>0</v>
      </c>
      <c r="Y12" s="505">
        <f>(2!Y62-2!Y33)*2!$F$114+X12</f>
        <v>0</v>
      </c>
      <c r="Z12" s="505">
        <f>(2!Z62-2!Z33)*2!$F$114+Y12</f>
        <v>0</v>
      </c>
      <c r="AA12" s="505">
        <f>(2!AA62-2!AA33)*2!$F$114+Z12</f>
        <v>0</v>
      </c>
    </row>
    <row r="13" spans="3:27" ht="25.5">
      <c r="C13" s="415" t="s">
        <v>56</v>
      </c>
      <c r="H13" s="210"/>
      <c r="I13" s="210"/>
      <c r="J13" s="210"/>
      <c r="K13" s="210"/>
      <c r="L13" s="210">
        <v>0</v>
      </c>
      <c r="M13" s="505">
        <f>(2!M63-2!M34)*2!$F$114+L13</f>
        <v>0</v>
      </c>
      <c r="N13" s="505">
        <f>(2!N63-2!N34)*2!$F$114+M13</f>
        <v>0</v>
      </c>
      <c r="O13" s="505">
        <f>(2!O63-2!O34)*2!$F$114+N13</f>
        <v>0</v>
      </c>
      <c r="P13" s="505">
        <f>(2!P63-2!P34)*2!$F$114+O13</f>
        <v>0</v>
      </c>
      <c r="Q13" s="505">
        <f>(2!Q63-2!Q34)*2!$F$114+P13</f>
        <v>0</v>
      </c>
      <c r="R13" s="505">
        <f>(2!R63-2!R34)*2!$F$114+Q13</f>
        <v>0</v>
      </c>
      <c r="S13" s="505">
        <f>(2!S63-2!S34)*2!$F$114+R13</f>
        <v>0</v>
      </c>
      <c r="T13" s="505">
        <f>(2!T63-2!T34)*2!$F$114+S13</f>
        <v>0</v>
      </c>
      <c r="U13" s="505">
        <f>(2!U63-2!U34)*2!$F$114+T13</f>
        <v>0</v>
      </c>
      <c r="V13" s="505">
        <f>(2!V63-2!V34)*2!$F$114+U13</f>
        <v>0</v>
      </c>
      <c r="W13" s="505">
        <f>(2!W63-2!W34)*2!$F$114+V13</f>
        <v>0</v>
      </c>
      <c r="X13" s="505">
        <f>(2!X63-2!X34)*2!$F$114+W13</f>
        <v>0</v>
      </c>
      <c r="Y13" s="505">
        <f>(2!Y63-2!Y34)*2!$F$114+X13</f>
        <v>0</v>
      </c>
      <c r="Z13" s="505">
        <f>(2!Z63-2!Z34)*2!$F$114+Y13</f>
        <v>0</v>
      </c>
      <c r="AA13" s="505">
        <f>(2!AA63-2!AA34)*2!$F$114+Z13</f>
        <v>0</v>
      </c>
    </row>
    <row r="14" spans="3:27" ht="25.5">
      <c r="C14" s="415" t="s">
        <v>672</v>
      </c>
      <c r="H14" s="210"/>
      <c r="I14" s="210"/>
      <c r="J14" s="210"/>
      <c r="K14" s="210"/>
      <c r="L14" s="210">
        <v>0</v>
      </c>
      <c r="M14" s="505">
        <f>(2!M64-2!M35)*2!$F$114+L14</f>
        <v>0</v>
      </c>
      <c r="N14" s="505">
        <f>(2!N64-2!N35)*2!$F$114+M14</f>
        <v>0</v>
      </c>
      <c r="O14" s="505">
        <f>(2!O64-2!O35)*2!$F$114+N14</f>
        <v>0</v>
      </c>
      <c r="P14" s="505">
        <f>(2!P64-2!P35)*2!$F$114+O14</f>
        <v>0</v>
      </c>
      <c r="Q14" s="505">
        <f>(2!Q64-2!Q35)*2!$F$114+P14</f>
        <v>0</v>
      </c>
      <c r="R14" s="505">
        <f>(2!R64-2!R35)*2!$F$114+Q14</f>
        <v>0</v>
      </c>
      <c r="S14" s="505">
        <f>(2!S64-2!S35)*2!$F$114+R14</f>
        <v>0</v>
      </c>
      <c r="T14" s="505">
        <f>(2!T64-2!T35)*2!$F$114+S14</f>
        <v>0</v>
      </c>
      <c r="U14" s="505">
        <f>(2!U64-2!U35)*2!$F$114+T14</f>
        <v>0</v>
      </c>
      <c r="V14" s="505">
        <f>(2!V64-2!V35)*2!$F$114+U14</f>
        <v>0</v>
      </c>
      <c r="W14" s="505">
        <f>(2!W64-2!W35)*2!$F$114+V14</f>
        <v>0</v>
      </c>
      <c r="X14" s="505">
        <f>(2!X64-2!X35)*2!$F$114+W14</f>
        <v>0</v>
      </c>
      <c r="Y14" s="505">
        <f>(2!Y64-2!Y35)*2!$F$114+X14</f>
        <v>0</v>
      </c>
      <c r="Z14" s="505">
        <f>(2!Z64-2!Z35)*2!$F$114+Y14</f>
        <v>0</v>
      </c>
      <c r="AA14" s="505">
        <f>(2!AA64-2!AA35)*2!$F$114+Z14</f>
        <v>0</v>
      </c>
    </row>
    <row r="15" spans="3:27" ht="15">
      <c r="C15" s="415"/>
      <c r="H15" s="505"/>
      <c r="I15" s="505"/>
      <c r="J15" s="505"/>
      <c r="K15" s="505"/>
      <c r="L15" s="505"/>
      <c r="M15" s="505"/>
      <c r="N15" s="505"/>
      <c r="O15" s="505"/>
      <c r="P15" s="505"/>
      <c r="Q15" s="505"/>
      <c r="R15" s="505"/>
      <c r="S15" s="505"/>
      <c r="T15" s="505"/>
      <c r="U15" s="505"/>
      <c r="V15" s="505"/>
      <c r="W15" s="505"/>
      <c r="X15" s="505"/>
      <c r="Y15" s="505"/>
      <c r="Z15" s="505"/>
      <c r="AA15" s="505"/>
    </row>
    <row r="16" s="263" customFormat="1" ht="12.75">
      <c r="C16" s="263" t="s">
        <v>715</v>
      </c>
    </row>
    <row r="17" spans="3:15" ht="15">
      <c r="C17" s="269"/>
      <c r="H17" s="542" t="s">
        <v>273</v>
      </c>
      <c r="I17" s="542"/>
      <c r="J17" s="542"/>
      <c r="K17" s="542"/>
      <c r="L17" s="540" t="s">
        <v>272</v>
      </c>
      <c r="M17" s="540"/>
      <c r="N17" s="540"/>
      <c r="O17" s="435" t="s">
        <v>709</v>
      </c>
    </row>
    <row r="18" spans="3:27" ht="15">
      <c r="C18" s="415" t="s">
        <v>54</v>
      </c>
      <c r="H18" s="210"/>
      <c r="I18" s="210"/>
      <c r="J18" s="210"/>
      <c r="K18" s="210"/>
      <c r="L18" s="236"/>
      <c r="M18" s="237"/>
      <c r="N18" s="237"/>
      <c r="O18" s="210">
        <v>0</v>
      </c>
      <c r="P18" s="505">
        <f>(2!P83-2!O83)/2!$F$26</f>
        <v>0</v>
      </c>
      <c r="Q18" s="505">
        <f>(2!Q83-2!P83)/2!$F$26</f>
        <v>0</v>
      </c>
      <c r="R18" s="505">
        <f>(2!R83-2!Q83)/2!$F$26</f>
        <v>0</v>
      </c>
      <c r="S18" s="505">
        <f>(2!S83-2!R83)/2!$F$26</f>
        <v>0</v>
      </c>
      <c r="T18" s="505">
        <f>(2!T83-2!S83)/2!$F$26</f>
        <v>0</v>
      </c>
      <c r="U18" s="505">
        <f>(2!U83-2!T83)/2!$F$26</f>
        <v>0</v>
      </c>
      <c r="V18" s="505">
        <f>(2!V83-2!U83)/2!$F$26</f>
        <v>0</v>
      </c>
      <c r="W18" s="505">
        <f>(2!W83-2!V83)/2!$F$26</f>
        <v>0</v>
      </c>
      <c r="X18" s="505">
        <f>(2!X83-2!W83)/2!$F$26</f>
        <v>0</v>
      </c>
      <c r="Y18" s="505">
        <f>(2!Y83-2!X83)/2!$F$26</f>
        <v>0</v>
      </c>
      <c r="Z18" s="505">
        <f>(2!Z83-2!Y83)/2!$F$26</f>
        <v>0</v>
      </c>
      <c r="AA18" s="505">
        <f>(2!AA83-2!Z83)/2!$F$26</f>
        <v>0</v>
      </c>
    </row>
    <row r="19" spans="3:27" ht="15">
      <c r="C19" s="415" t="s">
        <v>55</v>
      </c>
      <c r="H19" s="210"/>
      <c r="I19" s="210"/>
      <c r="J19" s="210"/>
      <c r="K19" s="210"/>
      <c r="L19" s="236"/>
      <c r="M19" s="237"/>
      <c r="N19" s="237"/>
      <c r="O19" s="210">
        <v>0</v>
      </c>
      <c r="P19" s="505">
        <f>(2!P84-2!O84)/2!$F$26</f>
        <v>0</v>
      </c>
      <c r="Q19" s="505">
        <f>(2!Q84-2!P84)/2!$F$26</f>
        <v>0</v>
      </c>
      <c r="R19" s="505">
        <f>(2!R84-2!Q84)/2!$F$26</f>
        <v>0</v>
      </c>
      <c r="S19" s="505">
        <f>(2!S84-2!R84)/2!$F$26</f>
        <v>0</v>
      </c>
      <c r="T19" s="505">
        <f>(2!T84-2!S84)/2!$F$26</f>
        <v>0</v>
      </c>
      <c r="U19" s="505">
        <f>(2!U84-2!T84)/2!$F$26</f>
        <v>0</v>
      </c>
      <c r="V19" s="505">
        <f>(2!V84-2!U84)/2!$F$26</f>
        <v>0</v>
      </c>
      <c r="W19" s="505">
        <f>(2!W84-2!V84)/2!$F$26</f>
        <v>0</v>
      </c>
      <c r="X19" s="505">
        <f>(2!X84-2!W84)/2!$F$26</f>
        <v>0</v>
      </c>
      <c r="Y19" s="505">
        <f>(2!Y84-2!X84)/2!$F$26</f>
        <v>0</v>
      </c>
      <c r="Z19" s="505">
        <f>(2!Z84-2!Y84)/2!$F$26</f>
        <v>0</v>
      </c>
      <c r="AA19" s="505">
        <f>(2!AA84-2!Z84)/2!$F$26</f>
        <v>0</v>
      </c>
    </row>
    <row r="20" spans="3:27" ht="25.5">
      <c r="C20" s="415" t="s">
        <v>56</v>
      </c>
      <c r="H20" s="210"/>
      <c r="I20" s="210"/>
      <c r="J20" s="210"/>
      <c r="K20" s="210"/>
      <c r="L20" s="236"/>
      <c r="M20" s="237"/>
      <c r="N20" s="237"/>
      <c r="O20" s="210">
        <v>0</v>
      </c>
      <c r="P20" s="505">
        <f>(2!P85-2!O85)/2!$F$26</f>
        <v>0</v>
      </c>
      <c r="Q20" s="505">
        <f>(2!Q85-2!P85)/2!$F$26</f>
        <v>0</v>
      </c>
      <c r="R20" s="505">
        <f>(2!R85-2!Q85)/2!$F$26</f>
        <v>0</v>
      </c>
      <c r="S20" s="505">
        <f>(2!S85-2!R85)/2!$F$26</f>
        <v>0</v>
      </c>
      <c r="T20" s="505">
        <f>(2!T85-2!S85)/2!$F$26</f>
        <v>0</v>
      </c>
      <c r="U20" s="505">
        <f>(2!U85-2!T85)/2!$F$26</f>
        <v>0</v>
      </c>
      <c r="V20" s="505">
        <f>(2!V85-2!U85)/2!$F$26</f>
        <v>0</v>
      </c>
      <c r="W20" s="505">
        <f>(2!W85-2!V85)/2!$F$26</f>
        <v>0</v>
      </c>
      <c r="X20" s="505">
        <f>(2!X85-2!W85)/2!$F$26</f>
        <v>0</v>
      </c>
      <c r="Y20" s="505">
        <f>(2!Y85-2!X85)/2!$F$26</f>
        <v>0</v>
      </c>
      <c r="Z20" s="505">
        <f>(2!Z85-2!Y85)/2!$F$26</f>
        <v>0</v>
      </c>
      <c r="AA20" s="505">
        <f>(2!AA85-2!Z85)/2!$F$26</f>
        <v>0</v>
      </c>
    </row>
    <row r="21" spans="3:27" ht="25.5">
      <c r="C21" s="415" t="s">
        <v>672</v>
      </c>
      <c r="H21" s="210"/>
      <c r="I21" s="210"/>
      <c r="J21" s="210"/>
      <c r="K21" s="210"/>
      <c r="L21" s="236"/>
      <c r="M21" s="237"/>
      <c r="N21" s="237"/>
      <c r="O21" s="210">
        <v>0</v>
      </c>
      <c r="P21" s="505">
        <f>(2!P86-2!O86)/2!$F$26</f>
        <v>0</v>
      </c>
      <c r="Q21" s="505">
        <f>(2!Q86-2!P86)/2!$F$26</f>
        <v>0</v>
      </c>
      <c r="R21" s="505">
        <f>(2!R86-2!Q86)/2!$F$26</f>
        <v>0</v>
      </c>
      <c r="S21" s="505">
        <f>(2!S86-2!R86)/2!$F$26</f>
        <v>0</v>
      </c>
      <c r="T21" s="505">
        <f>(2!T86-2!S86)/2!$F$26</f>
        <v>0</v>
      </c>
      <c r="U21" s="505">
        <f>(2!U86-2!T86)/2!$F$26</f>
        <v>0</v>
      </c>
      <c r="V21" s="505">
        <f>(2!V86-2!U86)/2!$F$26</f>
        <v>0</v>
      </c>
      <c r="W21" s="505">
        <f>(2!W86-2!V86)/2!$F$26</f>
        <v>0</v>
      </c>
      <c r="X21" s="505">
        <f>(2!X86-2!W86)/2!$F$26</f>
        <v>0</v>
      </c>
      <c r="Y21" s="505">
        <f>(2!Y86-2!X86)/2!$F$26</f>
        <v>0</v>
      </c>
      <c r="Z21" s="505">
        <f>(2!Z86-2!Y86)/2!$F$26</f>
        <v>0</v>
      </c>
      <c r="AA21" s="505">
        <f>(2!AA86-2!Z86)/2!$F$26</f>
        <v>0</v>
      </c>
    </row>
    <row r="22" spans="3:27" ht="15">
      <c r="C22" s="415"/>
      <c r="G22" s="505"/>
      <c r="H22" s="505"/>
      <c r="I22" s="505"/>
      <c r="J22" s="505"/>
      <c r="K22" s="505"/>
      <c r="L22" s="505"/>
      <c r="M22" s="505"/>
      <c r="N22" s="505"/>
      <c r="O22" s="505"/>
      <c r="P22" s="505"/>
      <c r="Q22" s="505"/>
      <c r="R22" s="505"/>
      <c r="S22" s="505"/>
      <c r="T22" s="505"/>
      <c r="U22" s="505"/>
      <c r="V22" s="505"/>
      <c r="W22" s="505"/>
      <c r="X22" s="505"/>
      <c r="Y22" s="505"/>
      <c r="Z22" s="505"/>
      <c r="AA22" s="505"/>
    </row>
    <row r="23" s="263" customFormat="1" ht="12.75">
      <c r="C23" s="263" t="s">
        <v>706</v>
      </c>
    </row>
    <row r="24" spans="3:12" ht="15">
      <c r="C24" s="269" t="s">
        <v>310</v>
      </c>
      <c r="H24" s="542" t="s">
        <v>273</v>
      </c>
      <c r="I24" s="542"/>
      <c r="J24" s="542"/>
      <c r="K24" s="542"/>
      <c r="L24" s="435" t="s">
        <v>709</v>
      </c>
    </row>
    <row r="25" spans="3:30" ht="15">
      <c r="C25" s="415" t="s">
        <v>54</v>
      </c>
      <c r="H25" s="210"/>
      <c r="I25" s="210"/>
      <c r="J25" s="210"/>
      <c r="K25" s="210"/>
      <c r="L25" s="210">
        <v>0</v>
      </c>
      <c r="M25" s="505">
        <f>(2!$F$27-2!$F$28)*M6*'Algas pa līmeņiem'!$E$122</f>
        <v>0</v>
      </c>
      <c r="N25" s="505">
        <f>(2!$F$27-2!$F$28)*N6*'Algas pa līmeņiem'!$E$122</f>
        <v>0</v>
      </c>
      <c r="O25" s="505">
        <f>(2!$F$27-2!$F$28)*O6*'Algas pa līmeņiem'!$E$122</f>
        <v>0</v>
      </c>
      <c r="P25" s="505">
        <f>(2!$F$27-2!$F$28)*P6*'Algas pa līmeņiem'!$E$122</f>
        <v>0</v>
      </c>
      <c r="Q25" s="505">
        <f>(2!$F$27-2!$F$28)*Q6*'Algas pa līmeņiem'!$E$122</f>
        <v>0</v>
      </c>
      <c r="R25" s="505">
        <f>(2!$F$27-2!$F$28)*R6*'Algas pa līmeņiem'!$E$122</f>
        <v>0</v>
      </c>
      <c r="S25" s="505">
        <f>(2!$F$27-2!$F$28)*S6*'Algas pa līmeņiem'!$E$122</f>
        <v>0</v>
      </c>
      <c r="T25" s="505">
        <f>(2!$F$27-2!$F$28)*T6*'Algas pa līmeņiem'!$E$122</f>
        <v>0</v>
      </c>
      <c r="U25" s="505">
        <f>(2!$F$27-2!$F$28)*U6*'Algas pa līmeņiem'!$E$122</f>
        <v>0</v>
      </c>
      <c r="V25" s="505">
        <f>(2!$F$27-2!$F$28)*V6*'Algas pa līmeņiem'!$E$122</f>
        <v>0</v>
      </c>
      <c r="W25" s="505">
        <f>(2!$F$27-2!$F$28)*W6*'Algas pa līmeņiem'!$E$122</f>
        <v>0</v>
      </c>
      <c r="X25" s="505">
        <f>(2!$F$27-2!$F$28)*X6*'Algas pa līmeņiem'!$E$122</f>
        <v>0</v>
      </c>
      <c r="Y25" s="505">
        <f>(2!$F$27-2!$F$28)*Y6*'Algas pa līmeņiem'!$E$122</f>
        <v>0</v>
      </c>
      <c r="Z25" s="505">
        <f>(2!$F$27-2!$F$28)*Z6*'Algas pa līmeņiem'!$E$122</f>
        <v>0</v>
      </c>
      <c r="AA25" s="505">
        <f>(2!$F$27-2!$F$28)*AA6*'Algas pa līmeņiem'!$E$122</f>
        <v>0</v>
      </c>
      <c r="AB25" s="503"/>
      <c r="AC25" s="503"/>
      <c r="AD25" s="503"/>
    </row>
    <row r="26" spans="3:30" ht="15">
      <c r="C26" s="415" t="s">
        <v>55</v>
      </c>
      <c r="H26" s="210"/>
      <c r="I26" s="210"/>
      <c r="J26" s="210"/>
      <c r="K26" s="210"/>
      <c r="L26" s="210">
        <v>0</v>
      </c>
      <c r="M26" s="505">
        <f>(2!$F$27-2!$F$28)*M7*'Algas pa līmeņiem'!$E$122</f>
        <v>0</v>
      </c>
      <c r="N26" s="505">
        <f>(2!$F$27-2!$F$28)*N7*'Algas pa līmeņiem'!$E$122</f>
        <v>0</v>
      </c>
      <c r="O26" s="505">
        <f>(2!$F$27-2!$F$28)*O7*'Algas pa līmeņiem'!$E$122</f>
        <v>0</v>
      </c>
      <c r="P26" s="505">
        <f>(2!$F$27-2!$F$28)*P7*'Algas pa līmeņiem'!$E$122</f>
        <v>0</v>
      </c>
      <c r="Q26" s="505">
        <f>(2!$F$27-2!$F$28)*Q7*'Algas pa līmeņiem'!$E$122</f>
        <v>0</v>
      </c>
      <c r="R26" s="505">
        <f>(2!$F$27-2!$F$28)*R7*'Algas pa līmeņiem'!$E$122</f>
        <v>0</v>
      </c>
      <c r="S26" s="505">
        <f>(2!$F$27-2!$F$28)*S7*'Algas pa līmeņiem'!$E$122</f>
        <v>0</v>
      </c>
      <c r="T26" s="505">
        <f>(2!$F$27-2!$F$28)*T7*'Algas pa līmeņiem'!$E$122</f>
        <v>0</v>
      </c>
      <c r="U26" s="505">
        <f>(2!$F$27-2!$F$28)*U7*'Algas pa līmeņiem'!$E$122</f>
        <v>0</v>
      </c>
      <c r="V26" s="505">
        <f>(2!$F$27-2!$F$28)*V7*'Algas pa līmeņiem'!$E$122</f>
        <v>0</v>
      </c>
      <c r="W26" s="505">
        <f>(2!$F$27-2!$F$28)*W7*'Algas pa līmeņiem'!$E$122</f>
        <v>0</v>
      </c>
      <c r="X26" s="505">
        <f>(2!$F$27-2!$F$28)*X7*'Algas pa līmeņiem'!$E$122</f>
        <v>0</v>
      </c>
      <c r="Y26" s="505">
        <f>(2!$F$27-2!$F$28)*Y7*'Algas pa līmeņiem'!$E$122</f>
        <v>0</v>
      </c>
      <c r="Z26" s="505">
        <f>(2!$F$27-2!$F$28)*Z7*'Algas pa līmeņiem'!$E$122</f>
        <v>0</v>
      </c>
      <c r="AA26" s="505">
        <f>(2!$F$27-2!$F$28)*AA7*'Algas pa līmeņiem'!$E$122</f>
        <v>0</v>
      </c>
      <c r="AB26" s="503"/>
      <c r="AC26" s="503"/>
      <c r="AD26" s="503"/>
    </row>
    <row r="27" spans="3:30" ht="25.5">
      <c r="C27" s="415" t="s">
        <v>56</v>
      </c>
      <c r="H27" s="210"/>
      <c r="I27" s="210"/>
      <c r="J27" s="210"/>
      <c r="K27" s="210"/>
      <c r="L27" s="210">
        <v>0</v>
      </c>
      <c r="M27" s="505">
        <f>(2!$F$27-2!$F$28)*M8*'Algas pa līmeņiem'!$E$122</f>
        <v>0</v>
      </c>
      <c r="N27" s="505">
        <f>(2!$F$27-2!$F$28)*N8*'Algas pa līmeņiem'!$E$122</f>
        <v>0</v>
      </c>
      <c r="O27" s="505">
        <f>(2!$F$27-2!$F$28)*O8*'Algas pa līmeņiem'!$E$122</f>
        <v>0</v>
      </c>
      <c r="P27" s="505">
        <f>(2!$F$27-2!$F$28)*P8*'Algas pa līmeņiem'!$E$122</f>
        <v>0</v>
      </c>
      <c r="Q27" s="505">
        <f>(2!$F$27-2!$F$28)*Q8*'Algas pa līmeņiem'!$E$122</f>
        <v>0</v>
      </c>
      <c r="R27" s="505">
        <f>(2!$F$27-2!$F$28)*R8*'Algas pa līmeņiem'!$E$122</f>
        <v>0</v>
      </c>
      <c r="S27" s="505">
        <f>(2!$F$27-2!$F$28)*S8*'Algas pa līmeņiem'!$E$122</f>
        <v>0</v>
      </c>
      <c r="T27" s="505">
        <f>(2!$F$27-2!$F$28)*T8*'Algas pa līmeņiem'!$E$122</f>
        <v>0</v>
      </c>
      <c r="U27" s="505">
        <f>(2!$F$27-2!$F$28)*U8*'Algas pa līmeņiem'!$E$122</f>
        <v>0</v>
      </c>
      <c r="V27" s="505">
        <f>(2!$F$27-2!$F$28)*V8*'Algas pa līmeņiem'!$E$122</f>
        <v>0</v>
      </c>
      <c r="W27" s="505">
        <f>(2!$F$27-2!$F$28)*W8*'Algas pa līmeņiem'!$E$122</f>
        <v>0</v>
      </c>
      <c r="X27" s="505">
        <f>(2!$F$27-2!$F$28)*X8*'Algas pa līmeņiem'!$E$122</f>
        <v>0</v>
      </c>
      <c r="Y27" s="505">
        <f>(2!$F$27-2!$F$28)*Y8*'Algas pa līmeņiem'!$E$122</f>
        <v>0</v>
      </c>
      <c r="Z27" s="505">
        <f>(2!$F$27-2!$F$28)*Z8*'Algas pa līmeņiem'!$E$122</f>
        <v>0</v>
      </c>
      <c r="AA27" s="505">
        <f>(2!$F$27-2!$F$28)*AA8*'Algas pa līmeņiem'!$E$122</f>
        <v>0</v>
      </c>
      <c r="AB27" s="503"/>
      <c r="AC27" s="503"/>
      <c r="AD27" s="503"/>
    </row>
    <row r="28" spans="3:30" ht="25.5">
      <c r="C28" s="415" t="s">
        <v>672</v>
      </c>
      <c r="H28" s="210"/>
      <c r="I28" s="210"/>
      <c r="J28" s="210"/>
      <c r="K28" s="210"/>
      <c r="L28" s="210">
        <v>0</v>
      </c>
      <c r="M28" s="505">
        <f>(2!$F$27-2!$F$28)*M9*'Algas pa līmeņiem'!$E$122</f>
        <v>0</v>
      </c>
      <c r="N28" s="505">
        <f>(2!$F$27-2!$F$28)*N9*'Algas pa līmeņiem'!$E$122</f>
        <v>0</v>
      </c>
      <c r="O28" s="505">
        <f>(2!$F$27-2!$F$28)*O9*'Algas pa līmeņiem'!$E$122</f>
        <v>0</v>
      </c>
      <c r="P28" s="505">
        <f>(2!$F$27-2!$F$28)*P9*'Algas pa līmeņiem'!$E$122</f>
        <v>0</v>
      </c>
      <c r="Q28" s="505">
        <f>(2!$F$27-2!$F$28)*Q9*'Algas pa līmeņiem'!$E$122</f>
        <v>0</v>
      </c>
      <c r="R28" s="505">
        <f>(2!$F$27-2!$F$28)*R9*'Algas pa līmeņiem'!$E$122</f>
        <v>0</v>
      </c>
      <c r="S28" s="505">
        <f>(2!$F$27-2!$F$28)*S9*'Algas pa līmeņiem'!$E$122</f>
        <v>0</v>
      </c>
      <c r="T28" s="505">
        <f>(2!$F$27-2!$F$28)*T9*'Algas pa līmeņiem'!$E$122</f>
        <v>0</v>
      </c>
      <c r="U28" s="505">
        <f>(2!$F$27-2!$F$28)*U9*'Algas pa līmeņiem'!$E$122</f>
        <v>0</v>
      </c>
      <c r="V28" s="505">
        <f>(2!$F$27-2!$F$28)*V9*'Algas pa līmeņiem'!$E$122</f>
        <v>0</v>
      </c>
      <c r="W28" s="505">
        <f>(2!$F$27-2!$F$28)*W9*'Algas pa līmeņiem'!$E$122</f>
        <v>0</v>
      </c>
      <c r="X28" s="505">
        <f>(2!$F$27-2!$F$28)*X9*'Algas pa līmeņiem'!$E$122</f>
        <v>0</v>
      </c>
      <c r="Y28" s="505">
        <f>(2!$F$27-2!$F$28)*Y9*'Algas pa līmeņiem'!$E$122</f>
        <v>0</v>
      </c>
      <c r="Z28" s="505">
        <f>(2!$F$27-2!$F$28)*Z9*'Algas pa līmeņiem'!$E$122</f>
        <v>0</v>
      </c>
      <c r="AA28" s="505">
        <f>(2!$F$27-2!$F$28)*AA9*'Algas pa līmeņiem'!$E$122</f>
        <v>0</v>
      </c>
      <c r="AB28" s="503"/>
      <c r="AC28" s="503"/>
      <c r="AD28" s="503"/>
    </row>
    <row r="29" spans="12:30" ht="15">
      <c r="L29" s="505"/>
      <c r="M29" s="505"/>
      <c r="N29" s="505"/>
      <c r="O29" s="505"/>
      <c r="P29" s="505"/>
      <c r="Q29" s="505"/>
      <c r="R29" s="505"/>
      <c r="S29" s="505"/>
      <c r="T29" s="505"/>
      <c r="U29" s="505"/>
      <c r="V29" s="505"/>
      <c r="W29" s="505"/>
      <c r="X29" s="505"/>
      <c r="Y29" s="505"/>
      <c r="Z29" s="505"/>
      <c r="AA29" s="505"/>
      <c r="AB29" s="503"/>
      <c r="AC29" s="503"/>
      <c r="AD29" s="503"/>
    </row>
    <row r="30" spans="3:30" ht="15">
      <c r="C30" s="269" t="s">
        <v>567</v>
      </c>
      <c r="H30" s="542" t="s">
        <v>273</v>
      </c>
      <c r="I30" s="542"/>
      <c r="J30" s="542"/>
      <c r="K30" s="542"/>
      <c r="L30" s="435" t="s">
        <v>709</v>
      </c>
      <c r="M30" s="505"/>
      <c r="N30" s="505"/>
      <c r="O30" s="505"/>
      <c r="P30" s="505"/>
      <c r="Q30" s="505"/>
      <c r="R30" s="505"/>
      <c r="S30" s="505"/>
      <c r="T30" s="505"/>
      <c r="U30" s="505"/>
      <c r="V30" s="505"/>
      <c r="W30" s="505"/>
      <c r="X30" s="505"/>
      <c r="Y30" s="505"/>
      <c r="Z30" s="505"/>
      <c r="AA30" s="505"/>
      <c r="AB30" s="503"/>
      <c r="AC30" s="503"/>
      <c r="AD30" s="503"/>
    </row>
    <row r="31" spans="3:27" ht="15">
      <c r="C31" s="415" t="s">
        <v>54</v>
      </c>
      <c r="H31" s="210"/>
      <c r="I31" s="210"/>
      <c r="J31" s="210"/>
      <c r="K31" s="210"/>
      <c r="L31" s="210">
        <v>0</v>
      </c>
      <c r="M31" s="505">
        <f>(2!$F$27-2!$F$29)*M11*'Algas pa līmeņiem'!$F$122</f>
        <v>0</v>
      </c>
      <c r="N31" s="505">
        <f>(2!$F$27-2!$F$29)*N11*'Algas pa līmeņiem'!$F$122</f>
        <v>0</v>
      </c>
      <c r="O31" s="505">
        <f>(2!$F$27-2!$F$29)*O11*'Algas pa līmeņiem'!$F$122</f>
        <v>0</v>
      </c>
      <c r="P31" s="505">
        <f>(2!$F$27-2!$F$29)*P11*'Algas pa līmeņiem'!$F$122</f>
        <v>0</v>
      </c>
      <c r="Q31" s="505">
        <f>(2!$F$27-2!$F$29)*Q11*'Algas pa līmeņiem'!$F$122</f>
        <v>0</v>
      </c>
      <c r="R31" s="505">
        <f>(2!$F$27-2!$F$29)*R11*'Algas pa līmeņiem'!$F$122</f>
        <v>0</v>
      </c>
      <c r="S31" s="505">
        <f>(2!$F$27-2!$F$29)*S11*'Algas pa līmeņiem'!$F$122</f>
        <v>0</v>
      </c>
      <c r="T31" s="505">
        <f>(2!$F$27-2!$F$29)*T11*'Algas pa līmeņiem'!$F$122</f>
        <v>0</v>
      </c>
      <c r="U31" s="505">
        <f>(2!$F$27-2!$F$29)*U11*'Algas pa līmeņiem'!$F$122</f>
        <v>0</v>
      </c>
      <c r="V31" s="505">
        <f>(2!$F$27-2!$F$29)*V11*'Algas pa līmeņiem'!$F$122</f>
        <v>0</v>
      </c>
      <c r="W31" s="505">
        <f>(2!$F$27-2!$F$29)*W11*'Algas pa līmeņiem'!$F$122</f>
        <v>0</v>
      </c>
      <c r="X31" s="505">
        <f>(2!$F$27-2!$F$29)*X11*'Algas pa līmeņiem'!$F$122</f>
        <v>0</v>
      </c>
      <c r="Y31" s="505">
        <f>(2!$F$27-2!$F$29)*Y11*'Algas pa līmeņiem'!$F$122</f>
        <v>0</v>
      </c>
      <c r="Z31" s="505">
        <f>(2!$F$27-2!$F$29)*Z11*'Algas pa līmeņiem'!$F$122</f>
        <v>0</v>
      </c>
      <c r="AA31" s="505">
        <f>(2!$F$27-2!$F$29)*AA11*'Algas pa līmeņiem'!$F$122</f>
        <v>0</v>
      </c>
    </row>
    <row r="32" spans="3:27" ht="15">
      <c r="C32" s="415" t="s">
        <v>55</v>
      </c>
      <c r="H32" s="210"/>
      <c r="I32" s="210"/>
      <c r="J32" s="210"/>
      <c r="K32" s="210"/>
      <c r="L32" s="210">
        <v>0</v>
      </c>
      <c r="M32" s="505">
        <f>(2!$F$27-2!$F$29)*M12*'Algas pa līmeņiem'!$F$122</f>
        <v>0</v>
      </c>
      <c r="N32" s="505">
        <f>(2!$F$27-2!$F$29)*N12*'Algas pa līmeņiem'!$F$122</f>
        <v>0</v>
      </c>
      <c r="O32" s="505">
        <f>(2!$F$27-2!$F$29)*O12*'Algas pa līmeņiem'!$F$122</f>
        <v>0</v>
      </c>
      <c r="P32" s="505">
        <f>(2!$F$27-2!$F$29)*P12*'Algas pa līmeņiem'!$F$122</f>
        <v>0</v>
      </c>
      <c r="Q32" s="505">
        <f>(2!$F$27-2!$F$29)*Q12*'Algas pa līmeņiem'!$F$122</f>
        <v>0</v>
      </c>
      <c r="R32" s="505">
        <f>(2!$F$27-2!$F$29)*R12*'Algas pa līmeņiem'!$F$122</f>
        <v>0</v>
      </c>
      <c r="S32" s="505">
        <f>(2!$F$27-2!$F$29)*S12*'Algas pa līmeņiem'!$F$122</f>
        <v>0</v>
      </c>
      <c r="T32" s="505">
        <f>(2!$F$27-2!$F$29)*T12*'Algas pa līmeņiem'!$F$122</f>
        <v>0</v>
      </c>
      <c r="U32" s="505">
        <f>(2!$F$27-2!$F$29)*U12*'Algas pa līmeņiem'!$F$122</f>
        <v>0</v>
      </c>
      <c r="V32" s="505">
        <f>(2!$F$27-2!$F$29)*V12*'Algas pa līmeņiem'!$F$122</f>
        <v>0</v>
      </c>
      <c r="W32" s="505">
        <f>(2!$F$27-2!$F$29)*W12*'Algas pa līmeņiem'!$F$122</f>
        <v>0</v>
      </c>
      <c r="X32" s="505">
        <f>(2!$F$27-2!$F$29)*X12*'Algas pa līmeņiem'!$F$122</f>
        <v>0</v>
      </c>
      <c r="Y32" s="505">
        <f>(2!$F$27-2!$F$29)*Y12*'Algas pa līmeņiem'!$F$122</f>
        <v>0</v>
      </c>
      <c r="Z32" s="505">
        <f>(2!$F$27-2!$F$29)*Z12*'Algas pa līmeņiem'!$F$122</f>
        <v>0</v>
      </c>
      <c r="AA32" s="505">
        <f>(2!$F$27-2!$F$29)*AA12*'Algas pa līmeņiem'!$F$122</f>
        <v>0</v>
      </c>
    </row>
    <row r="33" spans="3:27" ht="25.5">
      <c r="C33" s="415" t="s">
        <v>56</v>
      </c>
      <c r="H33" s="210"/>
      <c r="I33" s="210"/>
      <c r="J33" s="210"/>
      <c r="K33" s="210"/>
      <c r="L33" s="210">
        <v>0</v>
      </c>
      <c r="M33" s="505">
        <f>(2!$F$27-2!$F$29)*M13*'Algas pa līmeņiem'!$F$122</f>
        <v>0</v>
      </c>
      <c r="N33" s="505">
        <f>(2!$F$27-2!$F$29)*N13*'Algas pa līmeņiem'!$F$122</f>
        <v>0</v>
      </c>
      <c r="O33" s="505">
        <f>(2!$F$27-2!$F$29)*O13*'Algas pa līmeņiem'!$F$122</f>
        <v>0</v>
      </c>
      <c r="P33" s="505">
        <f>(2!$F$27-2!$F$29)*P13*'Algas pa līmeņiem'!$F$122</f>
        <v>0</v>
      </c>
      <c r="Q33" s="505">
        <f>(2!$F$27-2!$F$29)*Q13*'Algas pa līmeņiem'!$F$122</f>
        <v>0</v>
      </c>
      <c r="R33" s="505">
        <f>(2!$F$27-2!$F$29)*R13*'Algas pa līmeņiem'!$F$122</f>
        <v>0</v>
      </c>
      <c r="S33" s="505">
        <f>(2!$F$27-2!$F$29)*S13*'Algas pa līmeņiem'!$F$122</f>
        <v>0</v>
      </c>
      <c r="T33" s="505">
        <f>(2!$F$27-2!$F$29)*T13*'Algas pa līmeņiem'!$F$122</f>
        <v>0</v>
      </c>
      <c r="U33" s="505">
        <f>(2!$F$27-2!$F$29)*U13*'Algas pa līmeņiem'!$F$122</f>
        <v>0</v>
      </c>
      <c r="V33" s="505">
        <f>(2!$F$27-2!$F$29)*V13*'Algas pa līmeņiem'!$F$122</f>
        <v>0</v>
      </c>
      <c r="W33" s="505">
        <f>(2!$F$27-2!$F$29)*W13*'Algas pa līmeņiem'!$F$122</f>
        <v>0</v>
      </c>
      <c r="X33" s="505">
        <f>(2!$F$27-2!$F$29)*X13*'Algas pa līmeņiem'!$F$122</f>
        <v>0</v>
      </c>
      <c r="Y33" s="505">
        <f>(2!$F$27-2!$F$29)*Y13*'Algas pa līmeņiem'!$F$122</f>
        <v>0</v>
      </c>
      <c r="Z33" s="505">
        <f>(2!$F$27-2!$F$29)*Z13*'Algas pa līmeņiem'!$F$122</f>
        <v>0</v>
      </c>
      <c r="AA33" s="505">
        <f>(2!$F$27-2!$F$29)*AA13*'Algas pa līmeņiem'!$F$122</f>
        <v>0</v>
      </c>
    </row>
    <row r="34" spans="3:27" ht="25.5">
      <c r="C34" s="415" t="s">
        <v>672</v>
      </c>
      <c r="H34" s="210"/>
      <c r="I34" s="210"/>
      <c r="J34" s="210"/>
      <c r="K34" s="210"/>
      <c r="L34" s="210">
        <v>0</v>
      </c>
      <c r="M34" s="505">
        <f>(2!$F$27-2!$F$29)*M14*'Algas pa līmeņiem'!$F$122</f>
        <v>0</v>
      </c>
      <c r="N34" s="505">
        <f>(2!$F$27-2!$F$29)*N14*'Algas pa līmeņiem'!$F$122</f>
        <v>0</v>
      </c>
      <c r="O34" s="505">
        <f>(2!$F$27-2!$F$29)*O14*'Algas pa līmeņiem'!$F$122</f>
        <v>0</v>
      </c>
      <c r="P34" s="505">
        <f>(2!$F$27-2!$F$29)*P14*'Algas pa līmeņiem'!$F$122</f>
        <v>0</v>
      </c>
      <c r="Q34" s="505">
        <f>(2!$F$27-2!$F$29)*Q14*'Algas pa līmeņiem'!$F$122</f>
        <v>0</v>
      </c>
      <c r="R34" s="505">
        <f>(2!$F$27-2!$F$29)*R14*'Algas pa līmeņiem'!$F$122</f>
        <v>0</v>
      </c>
      <c r="S34" s="505">
        <f>(2!$F$27-2!$F$29)*S14*'Algas pa līmeņiem'!$F$122</f>
        <v>0</v>
      </c>
      <c r="T34" s="505">
        <f>(2!$F$27-2!$F$29)*T14*'Algas pa līmeņiem'!$F$122</f>
        <v>0</v>
      </c>
      <c r="U34" s="505">
        <f>(2!$F$27-2!$F$29)*U14*'Algas pa līmeņiem'!$F$122</f>
        <v>0</v>
      </c>
      <c r="V34" s="505">
        <f>(2!$F$27-2!$F$29)*V14*'Algas pa līmeņiem'!$F$122</f>
        <v>0</v>
      </c>
      <c r="W34" s="505">
        <f>(2!$F$27-2!$F$29)*W14*'Algas pa līmeņiem'!$F$122</f>
        <v>0</v>
      </c>
      <c r="X34" s="505">
        <f>(2!$F$27-2!$F$29)*X14*'Algas pa līmeņiem'!$F$122</f>
        <v>0</v>
      </c>
      <c r="Y34" s="505">
        <f>(2!$F$27-2!$F$29)*Y14*'Algas pa līmeņiem'!$F$122</f>
        <v>0</v>
      </c>
      <c r="Z34" s="505">
        <f>(2!$F$27-2!$F$29)*Z14*'Algas pa līmeņiem'!$F$122</f>
        <v>0</v>
      </c>
      <c r="AA34" s="505">
        <f>(2!$F$27-2!$F$29)*AA14*'Algas pa līmeņiem'!$F$122</f>
        <v>0</v>
      </c>
    </row>
    <row r="35" spans="12:27" ht="15">
      <c r="L35" s="505"/>
      <c r="M35" s="505"/>
      <c r="N35" s="505"/>
      <c r="O35" s="505"/>
      <c r="P35" s="505"/>
      <c r="Q35" s="505"/>
      <c r="R35" s="505"/>
      <c r="S35" s="505"/>
      <c r="T35" s="505"/>
      <c r="U35" s="505"/>
      <c r="V35" s="505"/>
      <c r="W35" s="505"/>
      <c r="X35" s="505"/>
      <c r="Y35" s="505"/>
      <c r="Z35" s="505"/>
      <c r="AA35" s="505"/>
    </row>
    <row r="36" s="263" customFormat="1" ht="12.75">
      <c r="C36" s="263" t="s">
        <v>715</v>
      </c>
    </row>
    <row r="37" spans="8:30" ht="15">
      <c r="H37" s="542" t="s">
        <v>273</v>
      </c>
      <c r="I37" s="542"/>
      <c r="J37" s="542"/>
      <c r="K37" s="542"/>
      <c r="L37" s="540" t="s">
        <v>272</v>
      </c>
      <c r="M37" s="540"/>
      <c r="N37" s="540"/>
      <c r="O37" s="435" t="s">
        <v>709</v>
      </c>
      <c r="P37" s="505"/>
      <c r="Q37" s="505"/>
      <c r="R37" s="505"/>
      <c r="S37" s="505"/>
      <c r="T37" s="505"/>
      <c r="U37" s="505"/>
      <c r="V37" s="505"/>
      <c r="W37" s="505"/>
      <c r="X37" s="505"/>
      <c r="Y37" s="505"/>
      <c r="Z37" s="505"/>
      <c r="AA37" s="505"/>
      <c r="AB37" s="503"/>
      <c r="AC37" s="503"/>
      <c r="AD37" s="503"/>
    </row>
    <row r="38" spans="3:27" ht="15">
      <c r="C38" s="415" t="s">
        <v>54</v>
      </c>
      <c r="H38" s="210"/>
      <c r="I38" s="210"/>
      <c r="J38" s="210"/>
      <c r="K38" s="210"/>
      <c r="L38" s="236"/>
      <c r="M38" s="237"/>
      <c r="N38" s="237"/>
      <c r="O38" s="210">
        <v>0</v>
      </c>
      <c r="P38" s="505">
        <f>(2!$F$26-2!$F$27)*P18*'Algas pa līmeņiem'!$D$122</f>
        <v>0</v>
      </c>
      <c r="Q38" s="505">
        <f>(2!$F$26-2!$F$27)*Q18*'Algas pa līmeņiem'!$D$122</f>
        <v>0</v>
      </c>
      <c r="R38" s="505">
        <f>(2!$F$26-2!$F$27)*R18*'Algas pa līmeņiem'!$D$122</f>
        <v>0</v>
      </c>
      <c r="S38" s="505">
        <f>(2!$F$26-2!$F$27)*S18*'Algas pa līmeņiem'!$D$122</f>
        <v>0</v>
      </c>
      <c r="T38" s="505">
        <f>(2!$F$26-2!$F$27)*T18*'Algas pa līmeņiem'!$D$122</f>
        <v>0</v>
      </c>
      <c r="U38" s="505">
        <f>(2!$F$26-2!$F$27)*U18*'Algas pa līmeņiem'!$D$122</f>
        <v>0</v>
      </c>
      <c r="V38" s="505">
        <f>(2!$F$26-2!$F$27)*V18*'Algas pa līmeņiem'!$D$122</f>
        <v>0</v>
      </c>
      <c r="W38" s="505">
        <f>(2!$F$26-2!$F$27)*W18*'Algas pa līmeņiem'!$D$122</f>
        <v>0</v>
      </c>
      <c r="X38" s="505">
        <f>(2!$F$26-2!$F$27)*X18*'Algas pa līmeņiem'!$D$122</f>
        <v>0</v>
      </c>
      <c r="Y38" s="505">
        <f>(2!$F$26-2!$F$27)*Y18*'Algas pa līmeņiem'!$D$122</f>
        <v>0</v>
      </c>
      <c r="Z38" s="505">
        <f>(2!$F$26-2!$F$27)*Z18*'Algas pa līmeņiem'!$D$122</f>
        <v>0</v>
      </c>
      <c r="AA38" s="505">
        <f>(2!$F$26-2!$F$27)*AA18*'Algas pa līmeņiem'!$D$122</f>
        <v>0</v>
      </c>
    </row>
    <row r="39" spans="3:27" ht="15">
      <c r="C39" s="415" t="s">
        <v>55</v>
      </c>
      <c r="H39" s="210"/>
      <c r="I39" s="210"/>
      <c r="J39" s="210"/>
      <c r="K39" s="210"/>
      <c r="L39" s="236"/>
      <c r="M39" s="237"/>
      <c r="N39" s="237"/>
      <c r="O39" s="210">
        <v>0</v>
      </c>
      <c r="P39" s="505">
        <f>(2!$F$26-2!$F$27)*P19*'Algas pa līmeņiem'!$D$122</f>
        <v>0</v>
      </c>
      <c r="Q39" s="505">
        <f>(2!$F$26-2!$F$27)*Q19*'Algas pa līmeņiem'!$D$122</f>
        <v>0</v>
      </c>
      <c r="R39" s="505">
        <f>(2!$F$26-2!$F$27)*R19*'Algas pa līmeņiem'!$D$122</f>
        <v>0</v>
      </c>
      <c r="S39" s="505">
        <f>(2!$F$26-2!$F$27)*S19*'Algas pa līmeņiem'!$D$122</f>
        <v>0</v>
      </c>
      <c r="T39" s="505">
        <f>(2!$F$26-2!$F$27)*T19*'Algas pa līmeņiem'!$D$122</f>
        <v>0</v>
      </c>
      <c r="U39" s="505">
        <f>(2!$F$26-2!$F$27)*U19*'Algas pa līmeņiem'!$D$122</f>
        <v>0</v>
      </c>
      <c r="V39" s="505">
        <f>(2!$F$26-2!$F$27)*V19*'Algas pa līmeņiem'!$D$122</f>
        <v>0</v>
      </c>
      <c r="W39" s="505">
        <f>(2!$F$26-2!$F$27)*W19*'Algas pa līmeņiem'!$D$122</f>
        <v>0</v>
      </c>
      <c r="X39" s="505">
        <f>(2!$F$26-2!$F$27)*X19*'Algas pa līmeņiem'!$D$122</f>
        <v>0</v>
      </c>
      <c r="Y39" s="505">
        <f>(2!$F$26-2!$F$27)*Y19*'Algas pa līmeņiem'!$D$122</f>
        <v>0</v>
      </c>
      <c r="Z39" s="505">
        <f>(2!$F$26-2!$F$27)*Z19*'Algas pa līmeņiem'!$D$122</f>
        <v>0</v>
      </c>
      <c r="AA39" s="505">
        <f>(2!$F$26-2!$F$27)*AA19*'Algas pa līmeņiem'!$D$122</f>
        <v>0</v>
      </c>
    </row>
    <row r="40" spans="3:27" ht="15" customHeight="1">
      <c r="C40" s="415" t="s">
        <v>56</v>
      </c>
      <c r="H40" s="210"/>
      <c r="I40" s="210"/>
      <c r="J40" s="210"/>
      <c r="K40" s="210"/>
      <c r="L40" s="236"/>
      <c r="M40" s="237"/>
      <c r="N40" s="237"/>
      <c r="O40" s="210">
        <v>0</v>
      </c>
      <c r="P40" s="505">
        <f>(2!$F$26-2!$F$27)*P20*'Algas pa līmeņiem'!$D$122</f>
        <v>0</v>
      </c>
      <c r="Q40" s="505">
        <f>(2!$F$26-2!$F$27)*Q20*'Algas pa līmeņiem'!$D$122</f>
        <v>0</v>
      </c>
      <c r="R40" s="505">
        <f>(2!$F$26-2!$F$27)*R20*'Algas pa līmeņiem'!$D$122</f>
        <v>0</v>
      </c>
      <c r="S40" s="505">
        <f>(2!$F$26-2!$F$27)*S20*'Algas pa līmeņiem'!$D$122</f>
        <v>0</v>
      </c>
      <c r="T40" s="505">
        <f>(2!$F$26-2!$F$27)*T20*'Algas pa līmeņiem'!$D$122</f>
        <v>0</v>
      </c>
      <c r="U40" s="505">
        <f>(2!$F$26-2!$F$27)*U20*'Algas pa līmeņiem'!$D$122</f>
        <v>0</v>
      </c>
      <c r="V40" s="505">
        <f>(2!$F$26-2!$F$27)*V20*'Algas pa līmeņiem'!$D$122</f>
        <v>0</v>
      </c>
      <c r="W40" s="505">
        <f>(2!$F$26-2!$F$27)*W20*'Algas pa līmeņiem'!$D$122</f>
        <v>0</v>
      </c>
      <c r="X40" s="505">
        <f>(2!$F$26-2!$F$27)*X20*'Algas pa līmeņiem'!$D$122</f>
        <v>0</v>
      </c>
      <c r="Y40" s="505">
        <f>(2!$F$26-2!$F$27)*Y20*'Algas pa līmeņiem'!$D$122</f>
        <v>0</v>
      </c>
      <c r="Z40" s="505">
        <f>(2!$F$26-2!$F$27)*Z20*'Algas pa līmeņiem'!$D$122</f>
        <v>0</v>
      </c>
      <c r="AA40" s="505">
        <f>(2!$F$26-2!$F$27)*AA20*'Algas pa līmeņiem'!$D$122</f>
        <v>0</v>
      </c>
    </row>
    <row r="41" spans="3:27" ht="25.5">
      <c r="C41" s="415" t="s">
        <v>672</v>
      </c>
      <c r="H41" s="210"/>
      <c r="I41" s="210"/>
      <c r="J41" s="210"/>
      <c r="K41" s="210"/>
      <c r="L41" s="236"/>
      <c r="M41" s="237"/>
      <c r="N41" s="237"/>
      <c r="O41" s="210">
        <v>0</v>
      </c>
      <c r="P41" s="505">
        <f>(2!$F$26-2!$F$27)*P21*'Algas pa līmeņiem'!$D$122</f>
        <v>0</v>
      </c>
      <c r="Q41" s="505">
        <f>(2!$F$26-2!$F$27)*Q21*'Algas pa līmeņiem'!$D$122</f>
        <v>0</v>
      </c>
      <c r="R41" s="505">
        <f>(2!$F$26-2!$F$27)*R21*'Algas pa līmeņiem'!$D$122</f>
        <v>0</v>
      </c>
      <c r="S41" s="505">
        <f>(2!$F$26-2!$F$27)*S21*'Algas pa līmeņiem'!$D$122</f>
        <v>0</v>
      </c>
      <c r="T41" s="505">
        <f>(2!$F$26-2!$F$27)*T21*'Algas pa līmeņiem'!$D$122</f>
        <v>0</v>
      </c>
      <c r="U41" s="505">
        <f>(2!$F$26-2!$F$27)*U21*'Algas pa līmeņiem'!$D$122</f>
        <v>0</v>
      </c>
      <c r="V41" s="505">
        <f>(2!$F$26-2!$F$27)*V21*'Algas pa līmeņiem'!$D$122</f>
        <v>0</v>
      </c>
      <c r="W41" s="505">
        <f>(2!$F$26-2!$F$27)*W21*'Algas pa līmeņiem'!$D$122</f>
        <v>0</v>
      </c>
      <c r="X41" s="505">
        <f>(2!$F$26-2!$F$27)*X21*'Algas pa līmeņiem'!$D$122</f>
        <v>0</v>
      </c>
      <c r="Y41" s="505">
        <f>(2!$F$26-2!$F$27)*Y21*'Algas pa līmeņiem'!$D$122</f>
        <v>0</v>
      </c>
      <c r="Z41" s="505">
        <f>(2!$F$26-2!$F$27)*Z21*'Algas pa līmeņiem'!$D$122</f>
        <v>0</v>
      </c>
      <c r="AA41" s="505">
        <f>(2!$F$26-2!$F$27)*AA21*'Algas pa līmeņiem'!$D$122</f>
        <v>0</v>
      </c>
    </row>
    <row r="42" spans="12:30" ht="15">
      <c r="L42" s="506"/>
      <c r="M42" s="506">
        <f>SUM(M25:M28,M31:M34,M38:M41)</f>
        <v>0</v>
      </c>
      <c r="N42" s="506">
        <f aca="true" t="shared" si="0" ref="N42:Z42">SUM(N25:N28,N31:N34,N38:N41)</f>
        <v>0</v>
      </c>
      <c r="O42" s="506">
        <f t="shared" si="0"/>
        <v>0</v>
      </c>
      <c r="P42" s="506">
        <f t="shared" si="0"/>
        <v>0</v>
      </c>
      <c r="Q42" s="506">
        <f t="shared" si="0"/>
        <v>0</v>
      </c>
      <c r="R42" s="506">
        <f t="shared" si="0"/>
        <v>0</v>
      </c>
      <c r="S42" s="506">
        <f t="shared" si="0"/>
        <v>0</v>
      </c>
      <c r="T42" s="506">
        <f t="shared" si="0"/>
        <v>0</v>
      </c>
      <c r="U42" s="506">
        <f t="shared" si="0"/>
        <v>0</v>
      </c>
      <c r="V42" s="506">
        <f t="shared" si="0"/>
        <v>0</v>
      </c>
      <c r="W42" s="506">
        <f t="shared" si="0"/>
        <v>0</v>
      </c>
      <c r="X42" s="506">
        <f t="shared" si="0"/>
        <v>0</v>
      </c>
      <c r="Y42" s="506">
        <f t="shared" si="0"/>
        <v>0</v>
      </c>
      <c r="Z42" s="506">
        <f t="shared" si="0"/>
        <v>0</v>
      </c>
      <c r="AA42" s="506">
        <f>SUM(AA25:AA28,AA31:AA34,AA38:AA41)</f>
        <v>0</v>
      </c>
      <c r="AB42" s="504"/>
      <c r="AC42" s="504"/>
      <c r="AD42" s="504"/>
    </row>
  </sheetData>
  <sheetProtection/>
  <mergeCells count="8">
    <mergeCell ref="L17:N17"/>
    <mergeCell ref="H37:K37"/>
    <mergeCell ref="H5:K5"/>
    <mergeCell ref="H10:K10"/>
    <mergeCell ref="H24:K24"/>
    <mergeCell ref="H30:K30"/>
    <mergeCell ref="H17:K17"/>
    <mergeCell ref="L37:N3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C16"/>
  <sheetViews>
    <sheetView zoomScale="55" zoomScaleNormal="55" zoomScalePageLayoutView="0" workbookViewId="0" topLeftCell="P10">
      <selection activeCell="B93" sqref="B93"/>
    </sheetView>
  </sheetViews>
  <sheetFormatPr defaultColWidth="9.00390625" defaultRowHeight="15.75"/>
  <cols>
    <col min="1" max="1" width="2.375" style="435" customWidth="1"/>
    <col min="2" max="2" width="1.875" style="435" hidden="1" customWidth="1"/>
    <col min="3" max="3" width="33.625" style="435" customWidth="1"/>
    <col min="4" max="4" width="5.375" style="435" customWidth="1"/>
    <col min="5" max="6" width="8.75390625" style="435" customWidth="1"/>
    <col min="7" max="7" width="11.875" style="435" bestFit="1"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vai profesionālās kultūrizglītības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718</v>
      </c>
      <c r="C4" s="219" t="s">
        <v>697</v>
      </c>
    </row>
    <row r="5" spans="1:29" s="265" customFormat="1" ht="15">
      <c r="A5" s="166"/>
      <c r="B5" s="166"/>
      <c r="C5" s="414" t="s">
        <v>53</v>
      </c>
      <c r="D5" s="233"/>
      <c r="E5" s="166"/>
      <c r="F5" s="271"/>
      <c r="G5" s="502"/>
      <c r="H5" s="540" t="s">
        <v>273</v>
      </c>
      <c r="I5" s="540"/>
      <c r="J5" s="540"/>
      <c r="K5" s="540"/>
      <c r="L5" s="166"/>
      <c r="M5" s="166"/>
      <c r="N5" s="166"/>
      <c r="O5" s="166"/>
      <c r="P5" s="166"/>
      <c r="Q5" s="166"/>
      <c r="R5" s="166"/>
      <c r="S5" s="166"/>
      <c r="T5" s="166"/>
      <c r="U5" s="166"/>
      <c r="V5" s="166"/>
      <c r="W5" s="166"/>
      <c r="X5" s="166"/>
      <c r="Y5" s="166"/>
      <c r="Z5" s="166"/>
      <c r="AA5" s="166"/>
      <c r="AB5" s="166"/>
      <c r="AC5" s="166"/>
    </row>
    <row r="6" spans="1:29" s="265" customFormat="1" ht="38.25">
      <c r="A6" s="166"/>
      <c r="B6" s="166"/>
      <c r="C6" s="415" t="s">
        <v>54</v>
      </c>
      <c r="D6" s="233"/>
      <c r="E6" s="166"/>
      <c r="F6" s="266"/>
      <c r="G6" s="249"/>
      <c r="H6" s="235"/>
      <c r="I6" s="235"/>
      <c r="J6" s="235"/>
      <c r="K6" s="235">
        <v>0</v>
      </c>
      <c r="L6" s="259">
        <f>2!L61+K6</f>
        <v>0</v>
      </c>
      <c r="M6" s="259">
        <f>2!M61+L6</f>
        <v>0</v>
      </c>
      <c r="N6" s="259">
        <f>2!N61+M6</f>
        <v>0</v>
      </c>
      <c r="O6" s="259">
        <f>2!O61+N6</f>
        <v>0</v>
      </c>
      <c r="P6" s="259">
        <f>2!P61+O6</f>
        <v>0</v>
      </c>
      <c r="Q6" s="259">
        <f>2!Q61+P6</f>
        <v>0</v>
      </c>
      <c r="R6" s="259">
        <f>2!R61+Q6</f>
        <v>0</v>
      </c>
      <c r="S6" s="259">
        <f>2!S61+R6</f>
        <v>0</v>
      </c>
      <c r="T6" s="259">
        <f>2!T61+S6</f>
        <v>0</v>
      </c>
      <c r="U6" s="259">
        <f>2!U61+T6</f>
        <v>0</v>
      </c>
      <c r="V6" s="259">
        <f>2!V61+U6</f>
        <v>0</v>
      </c>
      <c r="W6" s="259">
        <f>2!W61+V6</f>
        <v>0</v>
      </c>
      <c r="X6" s="259">
        <f>2!X61+W6</f>
        <v>0</v>
      </c>
      <c r="Y6" s="259">
        <f>2!Y61+X6</f>
        <v>0</v>
      </c>
      <c r="Z6" s="259">
        <f>2!Z61+Y6</f>
        <v>0</v>
      </c>
      <c r="AA6" s="259">
        <f>2!AA61+Z6</f>
        <v>0</v>
      </c>
      <c r="AB6" s="166"/>
      <c r="AC6" s="166"/>
    </row>
    <row r="7" spans="1:29" s="265" customFormat="1" ht="51">
      <c r="A7" s="166"/>
      <c r="B7" s="166"/>
      <c r="C7" s="415" t="s">
        <v>55</v>
      </c>
      <c r="D7" s="233"/>
      <c r="E7" s="166"/>
      <c r="F7" s="266"/>
      <c r="G7" s="249"/>
      <c r="H7" s="235"/>
      <c r="I7" s="235"/>
      <c r="J7" s="235"/>
      <c r="K7" s="235">
        <v>0</v>
      </c>
      <c r="L7" s="259">
        <f>2!L62+K7</f>
        <v>0</v>
      </c>
      <c r="M7" s="259">
        <f>2!M62+L7</f>
        <v>0</v>
      </c>
      <c r="N7" s="259">
        <f>2!N62+M7</f>
        <v>0</v>
      </c>
      <c r="O7" s="259">
        <f>2!O62+N7</f>
        <v>0</v>
      </c>
      <c r="P7" s="259">
        <f>2!P62+O7</f>
        <v>0</v>
      </c>
      <c r="Q7" s="259">
        <f>2!Q62+P7</f>
        <v>0</v>
      </c>
      <c r="R7" s="259">
        <f>2!R62+Q7</f>
        <v>0</v>
      </c>
      <c r="S7" s="259">
        <f>2!S62+R7</f>
        <v>0</v>
      </c>
      <c r="T7" s="259">
        <f>2!T62+S7</f>
        <v>0</v>
      </c>
      <c r="U7" s="259">
        <f>2!U62+T7</f>
        <v>0</v>
      </c>
      <c r="V7" s="259">
        <f>2!V62+U7</f>
        <v>0</v>
      </c>
      <c r="W7" s="259">
        <f>2!W62+V7</f>
        <v>0</v>
      </c>
      <c r="X7" s="259">
        <f>2!X62+W7</f>
        <v>0</v>
      </c>
      <c r="Y7" s="259">
        <f>2!Y62+X7</f>
        <v>0</v>
      </c>
      <c r="Z7" s="259">
        <f>2!Z62+Y7</f>
        <v>0</v>
      </c>
      <c r="AA7" s="259">
        <f>2!AA62+Z7</f>
        <v>0</v>
      </c>
      <c r="AB7" s="166"/>
      <c r="AC7" s="166"/>
    </row>
    <row r="8" spans="1:29" s="265" customFormat="1" ht="63.75">
      <c r="A8" s="166"/>
      <c r="B8" s="166"/>
      <c r="C8" s="416" t="s">
        <v>56</v>
      </c>
      <c r="D8" s="233"/>
      <c r="E8" s="166"/>
      <c r="F8" s="266"/>
      <c r="G8" s="249"/>
      <c r="H8" s="235"/>
      <c r="I8" s="235"/>
      <c r="J8" s="235"/>
      <c r="K8" s="235">
        <v>0</v>
      </c>
      <c r="L8" s="259">
        <f>2!L63+K8</f>
        <v>0</v>
      </c>
      <c r="M8" s="259">
        <f>2!M63+L8</f>
        <v>0</v>
      </c>
      <c r="N8" s="259">
        <f>2!N63+M8</f>
        <v>0</v>
      </c>
      <c r="O8" s="259">
        <f>2!O63+N8</f>
        <v>0</v>
      </c>
      <c r="P8" s="259">
        <f>2!P63+O8</f>
        <v>0</v>
      </c>
      <c r="Q8" s="259">
        <f>2!Q63+P8</f>
        <v>0</v>
      </c>
      <c r="R8" s="259">
        <f>2!R63+Q8</f>
        <v>0</v>
      </c>
      <c r="S8" s="259">
        <f>2!S63+R8</f>
        <v>0</v>
      </c>
      <c r="T8" s="259">
        <f>2!T63+S8</f>
        <v>0</v>
      </c>
      <c r="U8" s="259">
        <f>2!U63+T8</f>
        <v>0</v>
      </c>
      <c r="V8" s="259">
        <f>2!V63+U8</f>
        <v>0</v>
      </c>
      <c r="W8" s="259">
        <f>2!W63+V8</f>
        <v>0</v>
      </c>
      <c r="X8" s="259">
        <f>2!X63+W8</f>
        <v>0</v>
      </c>
      <c r="Y8" s="259">
        <f>2!Y63+X8</f>
        <v>0</v>
      </c>
      <c r="Z8" s="259">
        <f>2!Z63+Y8</f>
        <v>0</v>
      </c>
      <c r="AA8" s="259">
        <f>2!AA63+Z8</f>
        <v>0</v>
      </c>
      <c r="AB8" s="166"/>
      <c r="AC8" s="166"/>
    </row>
    <row r="9" spans="1:29" s="265" customFormat="1" ht="63.75">
      <c r="A9" s="166"/>
      <c r="B9" s="166"/>
      <c r="C9" s="416" t="s">
        <v>672</v>
      </c>
      <c r="D9" s="233"/>
      <c r="E9" s="166"/>
      <c r="F9" s="266"/>
      <c r="G9" s="249"/>
      <c r="H9" s="235"/>
      <c r="I9" s="235"/>
      <c r="J9" s="235"/>
      <c r="K9" s="235">
        <v>0</v>
      </c>
      <c r="L9" s="259">
        <f>2!L64+K9</f>
        <v>0</v>
      </c>
      <c r="M9" s="259">
        <f>2!M64+L9</f>
        <v>0</v>
      </c>
      <c r="N9" s="259">
        <f>2!N64+M9</f>
        <v>0</v>
      </c>
      <c r="O9" s="259">
        <f>2!O64+N9</f>
        <v>0</v>
      </c>
      <c r="P9" s="259">
        <f>2!P64+O9</f>
        <v>0</v>
      </c>
      <c r="Q9" s="259">
        <f>2!Q64+P9</f>
        <v>0</v>
      </c>
      <c r="R9" s="259">
        <f>2!R64+Q9</f>
        <v>0</v>
      </c>
      <c r="S9" s="259">
        <f>2!S64+R9</f>
        <v>0</v>
      </c>
      <c r="T9" s="259">
        <f>2!T64+S9</f>
        <v>0</v>
      </c>
      <c r="U9" s="259">
        <f>2!U64+T9</f>
        <v>0</v>
      </c>
      <c r="V9" s="259">
        <f>2!V64+U9</f>
        <v>0</v>
      </c>
      <c r="W9" s="259">
        <f>2!W64+V9</f>
        <v>0</v>
      </c>
      <c r="X9" s="259">
        <f>2!X64+W9</f>
        <v>0</v>
      </c>
      <c r="Y9" s="259">
        <f>2!Y64+X9</f>
        <v>0</v>
      </c>
      <c r="Z9" s="259">
        <f>2!Z64+Y9</f>
        <v>0</v>
      </c>
      <c r="AA9" s="259">
        <f>2!AA64+Z9</f>
        <v>0</v>
      </c>
      <c r="AB9" s="166"/>
      <c r="AC9" s="166"/>
    </row>
    <row r="10" spans="1:29" s="265" customFormat="1" ht="15">
      <c r="A10" s="166"/>
      <c r="B10" s="166"/>
      <c r="C10" s="166"/>
      <c r="D10" s="233"/>
      <c r="E10" s="166"/>
      <c r="F10" s="166"/>
      <c r="G10" s="264"/>
      <c r="H10" s="166"/>
      <c r="I10" s="166"/>
      <c r="J10" s="166"/>
      <c r="K10" s="166"/>
      <c r="L10" s="166"/>
      <c r="M10" s="166"/>
      <c r="N10" s="166"/>
      <c r="O10" s="166"/>
      <c r="P10" s="166"/>
      <c r="Q10" s="166"/>
      <c r="R10" s="166"/>
      <c r="S10" s="166"/>
      <c r="T10" s="166"/>
      <c r="U10" s="166"/>
      <c r="V10" s="166"/>
      <c r="W10" s="166"/>
      <c r="X10" s="166"/>
      <c r="Y10" s="166"/>
      <c r="Z10" s="166"/>
      <c r="AA10" s="166"/>
      <c r="AB10" s="166"/>
      <c r="AC10" s="166"/>
    </row>
    <row r="11" spans="3:27" ht="38.25">
      <c r="C11" s="415" t="s">
        <v>54</v>
      </c>
      <c r="E11" s="508">
        <f>2!G123*2!G117</f>
        <v>8023.186440677967</v>
      </c>
      <c r="F11" s="510">
        <v>0.007</v>
      </c>
      <c r="G11" s="508">
        <f>E11*F11</f>
        <v>56.16230508474577</v>
      </c>
      <c r="L11" s="508">
        <f>L6*$G11</f>
        <v>0</v>
      </c>
      <c r="M11" s="508">
        <f aca="true" t="shared" si="0" ref="M11:Z11">M6*$G11</f>
        <v>0</v>
      </c>
      <c r="N11" s="508">
        <f t="shared" si="0"/>
        <v>0</v>
      </c>
      <c r="O11" s="508">
        <f t="shared" si="0"/>
        <v>0</v>
      </c>
      <c r="P11" s="508">
        <f t="shared" si="0"/>
        <v>0</v>
      </c>
      <c r="Q11" s="508">
        <f t="shared" si="0"/>
        <v>0</v>
      </c>
      <c r="R11" s="508">
        <f t="shared" si="0"/>
        <v>0</v>
      </c>
      <c r="S11" s="508">
        <f t="shared" si="0"/>
        <v>0</v>
      </c>
      <c r="T11" s="508">
        <f t="shared" si="0"/>
        <v>0</v>
      </c>
      <c r="U11" s="508">
        <f t="shared" si="0"/>
        <v>0</v>
      </c>
      <c r="V11" s="508">
        <f t="shared" si="0"/>
        <v>0</v>
      </c>
      <c r="W11" s="508">
        <f t="shared" si="0"/>
        <v>0</v>
      </c>
      <c r="X11" s="508">
        <f t="shared" si="0"/>
        <v>0</v>
      </c>
      <c r="Y11" s="508">
        <f t="shared" si="0"/>
        <v>0</v>
      </c>
      <c r="Z11" s="508">
        <f t="shared" si="0"/>
        <v>0</v>
      </c>
      <c r="AA11" s="508">
        <f>AA6*$G11</f>
        <v>0</v>
      </c>
    </row>
    <row r="12" spans="3:27" ht="51">
      <c r="C12" s="415" t="s">
        <v>55</v>
      </c>
      <c r="E12" s="508">
        <f>2!G124*2!G118</f>
        <v>9005.924204504934</v>
      </c>
      <c r="F12" s="510">
        <v>0.007</v>
      </c>
      <c r="G12" s="508">
        <f>E12*F12</f>
        <v>63.04146943153454</v>
      </c>
      <c r="L12" s="508">
        <f aca="true" t="shared" si="1" ref="L12:Z12">L7*$G12</f>
        <v>0</v>
      </c>
      <c r="M12" s="508">
        <f t="shared" si="1"/>
        <v>0</v>
      </c>
      <c r="N12" s="508">
        <f t="shared" si="1"/>
        <v>0</v>
      </c>
      <c r="O12" s="508">
        <f t="shared" si="1"/>
        <v>0</v>
      </c>
      <c r="P12" s="508">
        <f t="shared" si="1"/>
        <v>0</v>
      </c>
      <c r="Q12" s="508">
        <f t="shared" si="1"/>
        <v>0</v>
      </c>
      <c r="R12" s="508">
        <f t="shared" si="1"/>
        <v>0</v>
      </c>
      <c r="S12" s="508">
        <f t="shared" si="1"/>
        <v>0</v>
      </c>
      <c r="T12" s="508">
        <f t="shared" si="1"/>
        <v>0</v>
      </c>
      <c r="U12" s="508">
        <f t="shared" si="1"/>
        <v>0</v>
      </c>
      <c r="V12" s="508">
        <f t="shared" si="1"/>
        <v>0</v>
      </c>
      <c r="W12" s="508">
        <f t="shared" si="1"/>
        <v>0</v>
      </c>
      <c r="X12" s="508">
        <f t="shared" si="1"/>
        <v>0</v>
      </c>
      <c r="Y12" s="508">
        <f t="shared" si="1"/>
        <v>0</v>
      </c>
      <c r="Z12" s="508">
        <f t="shared" si="1"/>
        <v>0</v>
      </c>
      <c r="AA12" s="508">
        <f>AA7*$G12</f>
        <v>0</v>
      </c>
    </row>
    <row r="13" spans="3:27" ht="63.75">
      <c r="C13" s="416" t="s">
        <v>56</v>
      </c>
      <c r="E13" s="508">
        <f>2!G125*2!G119</f>
        <v>8553.303370786516</v>
      </c>
      <c r="F13" s="510">
        <v>0.007</v>
      </c>
      <c r="G13" s="508">
        <f>E13*F13</f>
        <v>59.87312359550561</v>
      </c>
      <c r="L13" s="508">
        <f aca="true" t="shared" si="2" ref="L13:Z13">L8*$G13</f>
        <v>0</v>
      </c>
      <c r="M13" s="508">
        <f t="shared" si="2"/>
        <v>0</v>
      </c>
      <c r="N13" s="508">
        <f t="shared" si="2"/>
        <v>0</v>
      </c>
      <c r="O13" s="508">
        <f t="shared" si="2"/>
        <v>0</v>
      </c>
      <c r="P13" s="508">
        <f t="shared" si="2"/>
        <v>0</v>
      </c>
      <c r="Q13" s="508">
        <f t="shared" si="2"/>
        <v>0</v>
      </c>
      <c r="R13" s="508">
        <f t="shared" si="2"/>
        <v>0</v>
      </c>
      <c r="S13" s="508">
        <f t="shared" si="2"/>
        <v>0</v>
      </c>
      <c r="T13" s="508">
        <f t="shared" si="2"/>
        <v>0</v>
      </c>
      <c r="U13" s="508">
        <f t="shared" si="2"/>
        <v>0</v>
      </c>
      <c r="V13" s="508">
        <f t="shared" si="2"/>
        <v>0</v>
      </c>
      <c r="W13" s="508">
        <f t="shared" si="2"/>
        <v>0</v>
      </c>
      <c r="X13" s="508">
        <f t="shared" si="2"/>
        <v>0</v>
      </c>
      <c r="Y13" s="508">
        <f t="shared" si="2"/>
        <v>0</v>
      </c>
      <c r="Z13" s="508">
        <f t="shared" si="2"/>
        <v>0</v>
      </c>
      <c r="AA13" s="508">
        <f>AA8*$G13</f>
        <v>0</v>
      </c>
    </row>
    <row r="14" spans="3:27" ht="63.75">
      <c r="C14" s="416" t="s">
        <v>672</v>
      </c>
      <c r="E14" s="508">
        <f>2!G126*2!G120</f>
        <v>6774.058823529412</v>
      </c>
      <c r="F14" s="510">
        <v>0.007</v>
      </c>
      <c r="G14" s="508">
        <f>E14*F14</f>
        <v>47.41841176470588</v>
      </c>
      <c r="L14" s="508">
        <f aca="true" t="shared" si="3" ref="L14:Z14">L9*$G14</f>
        <v>0</v>
      </c>
      <c r="M14" s="508">
        <f t="shared" si="3"/>
        <v>0</v>
      </c>
      <c r="N14" s="508">
        <f t="shared" si="3"/>
        <v>0</v>
      </c>
      <c r="O14" s="508">
        <f t="shared" si="3"/>
        <v>0</v>
      </c>
      <c r="P14" s="508">
        <f t="shared" si="3"/>
        <v>0</v>
      </c>
      <c r="Q14" s="508">
        <f t="shared" si="3"/>
        <v>0</v>
      </c>
      <c r="R14" s="508">
        <f t="shared" si="3"/>
        <v>0</v>
      </c>
      <c r="S14" s="508">
        <f t="shared" si="3"/>
        <v>0</v>
      </c>
      <c r="T14" s="508">
        <f t="shared" si="3"/>
        <v>0</v>
      </c>
      <c r="U14" s="508">
        <f t="shared" si="3"/>
        <v>0</v>
      </c>
      <c r="V14" s="508">
        <f t="shared" si="3"/>
        <v>0</v>
      </c>
      <c r="W14" s="508">
        <f t="shared" si="3"/>
        <v>0</v>
      </c>
      <c r="X14" s="508">
        <f t="shared" si="3"/>
        <v>0</v>
      </c>
      <c r="Y14" s="508">
        <f t="shared" si="3"/>
        <v>0</v>
      </c>
      <c r="Z14" s="508">
        <f t="shared" si="3"/>
        <v>0</v>
      </c>
      <c r="AA14" s="508">
        <f>AA9*$G14</f>
        <v>0</v>
      </c>
    </row>
    <row r="15" spans="12:27" ht="15">
      <c r="L15" s="508"/>
      <c r="M15" s="508"/>
      <c r="N15" s="508"/>
      <c r="O15" s="508"/>
      <c r="P15" s="508"/>
      <c r="Q15" s="508"/>
      <c r="R15" s="508"/>
      <c r="S15" s="508"/>
      <c r="T15" s="508"/>
      <c r="U15" s="508"/>
      <c r="V15" s="508"/>
      <c r="W15" s="508"/>
      <c r="X15" s="508"/>
      <c r="Y15" s="508"/>
      <c r="Z15" s="508"/>
      <c r="AA15" s="508"/>
    </row>
    <row r="16" spans="12:27" ht="15">
      <c r="L16" s="509">
        <f>SUM(L11:L15)</f>
        <v>0</v>
      </c>
      <c r="M16" s="509">
        <f aca="true" t="shared" si="4" ref="M16:Z16">SUM(M11:M15)</f>
        <v>0</v>
      </c>
      <c r="N16" s="509">
        <f t="shared" si="4"/>
        <v>0</v>
      </c>
      <c r="O16" s="509">
        <f t="shared" si="4"/>
        <v>0</v>
      </c>
      <c r="P16" s="509">
        <f t="shared" si="4"/>
        <v>0</v>
      </c>
      <c r="Q16" s="509">
        <f t="shared" si="4"/>
        <v>0</v>
      </c>
      <c r="R16" s="509">
        <f t="shared" si="4"/>
        <v>0</v>
      </c>
      <c r="S16" s="509">
        <f t="shared" si="4"/>
        <v>0</v>
      </c>
      <c r="T16" s="509">
        <f t="shared" si="4"/>
        <v>0</v>
      </c>
      <c r="U16" s="509">
        <f t="shared" si="4"/>
        <v>0</v>
      </c>
      <c r="V16" s="509">
        <f t="shared" si="4"/>
        <v>0</v>
      </c>
      <c r="W16" s="509">
        <f t="shared" si="4"/>
        <v>0</v>
      </c>
      <c r="X16" s="509">
        <f t="shared" si="4"/>
        <v>0</v>
      </c>
      <c r="Y16" s="509">
        <f t="shared" si="4"/>
        <v>0</v>
      </c>
      <c r="Z16" s="509">
        <f t="shared" si="4"/>
        <v>0</v>
      </c>
      <c r="AA16" s="509">
        <f>SUM(AA11:AA15)</f>
        <v>0</v>
      </c>
    </row>
  </sheetData>
  <sheetProtection/>
  <mergeCells count="1">
    <mergeCell ref="H5:K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V40"/>
  <sheetViews>
    <sheetView zoomScale="55" zoomScaleNormal="55" zoomScalePageLayoutView="0" workbookViewId="0" topLeftCell="I1">
      <selection activeCell="AA32" sqref="AA32"/>
    </sheetView>
  </sheetViews>
  <sheetFormatPr defaultColWidth="9.00390625" defaultRowHeight="15.75"/>
  <cols>
    <col min="1" max="1" width="2.875" style="0" customWidth="1"/>
    <col min="2" max="2" width="0" style="0" hidden="1" customWidth="1"/>
    <col min="3" max="3" width="93.25390625" style="0" customWidth="1"/>
    <col min="4" max="4" width="12.50390625" style="0" bestFit="1" customWidth="1"/>
    <col min="5" max="5" width="0" style="0" hidden="1" customWidth="1"/>
    <col min="6" max="6" width="15.625" style="0" hidden="1" customWidth="1"/>
    <col min="7" max="25" width="10.125" style="0" customWidth="1"/>
  </cols>
  <sheetData>
    <row r="1" spans="1:256" s="154" customFormat="1" ht="15">
      <c r="A1" s="153"/>
      <c r="B1" s="150"/>
      <c r="C1" s="151"/>
      <c r="D1" s="151"/>
      <c r="E1" s="151"/>
      <c r="F1" s="151"/>
      <c r="G1" s="151">
        <v>0</v>
      </c>
      <c r="H1" s="151">
        <v>1</v>
      </c>
      <c r="I1" s="151">
        <v>2</v>
      </c>
      <c r="J1" s="151">
        <v>3</v>
      </c>
      <c r="K1" s="151">
        <v>4</v>
      </c>
      <c r="L1" s="151">
        <v>5</v>
      </c>
      <c r="M1" s="151">
        <v>6</v>
      </c>
      <c r="N1" s="151">
        <v>7</v>
      </c>
      <c r="O1" s="151">
        <v>8</v>
      </c>
      <c r="P1" s="151">
        <v>9</v>
      </c>
      <c r="Q1" s="151">
        <v>10</v>
      </c>
      <c r="R1" s="151">
        <v>11</v>
      </c>
      <c r="S1" s="151">
        <v>12</v>
      </c>
      <c r="T1" s="151">
        <v>13</v>
      </c>
      <c r="U1" s="151">
        <v>14</v>
      </c>
      <c r="V1" s="151">
        <v>15</v>
      </c>
      <c r="W1" s="151">
        <v>16</v>
      </c>
      <c r="X1" s="151">
        <v>17</v>
      </c>
      <c r="Y1" s="151">
        <v>18</v>
      </c>
      <c r="Z1" s="151">
        <v>19</v>
      </c>
      <c r="AA1" s="151">
        <v>20</v>
      </c>
      <c r="AB1" s="15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59" customFormat="1" ht="15">
      <c r="A2" s="157" t="str">
        <f>Dati!B1</f>
        <v>Profesionālās izglītības vai profesionālās kultūrizglītības iestādes (PII) nosaukums</v>
      </c>
      <c r="B2" s="150"/>
      <c r="C2" s="157"/>
      <c r="D2" s="157" t="s">
        <v>3</v>
      </c>
      <c r="E2" s="157">
        <v>2014</v>
      </c>
      <c r="F2" s="157">
        <v>2015</v>
      </c>
      <c r="G2" s="227">
        <v>2016</v>
      </c>
      <c r="H2" s="161">
        <v>2017</v>
      </c>
      <c r="I2" s="161">
        <v>2018</v>
      </c>
      <c r="J2" s="161">
        <v>2019</v>
      </c>
      <c r="K2" s="161">
        <v>2020</v>
      </c>
      <c r="L2" s="162">
        <v>2021</v>
      </c>
      <c r="M2" s="162">
        <v>2022</v>
      </c>
      <c r="N2" s="162">
        <v>2023</v>
      </c>
      <c r="O2" s="162">
        <v>2024</v>
      </c>
      <c r="P2" s="162">
        <v>2025</v>
      </c>
      <c r="Q2" s="162">
        <v>2026</v>
      </c>
      <c r="R2" s="162">
        <v>2027</v>
      </c>
      <c r="S2" s="162">
        <v>2028</v>
      </c>
      <c r="T2" s="162">
        <v>2029</v>
      </c>
      <c r="U2" s="162">
        <v>2030</v>
      </c>
      <c r="V2" s="162">
        <v>2031</v>
      </c>
      <c r="W2" s="162">
        <v>2032</v>
      </c>
      <c r="X2" s="162">
        <v>2033</v>
      </c>
      <c r="Y2" s="162">
        <v>2034</v>
      </c>
      <c r="Z2" s="162">
        <v>2035</v>
      </c>
      <c r="AA2" s="162">
        <v>2036</v>
      </c>
      <c r="AB2" s="158" t="s">
        <v>21</v>
      </c>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19" customFormat="1" ht="15">
      <c r="A3" s="511" t="s">
        <v>26</v>
      </c>
      <c r="C3" s="219" t="s">
        <v>683</v>
      </c>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65" customFormat="1" ht="15">
      <c r="A4" s="263"/>
      <c r="B4" s="263" t="s">
        <v>187</v>
      </c>
      <c r="C4" s="417"/>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5" customFormat="1" ht="15">
      <c r="A5" s="166"/>
      <c r="B5" s="166"/>
      <c r="C5" s="498" t="s">
        <v>684</v>
      </c>
      <c r="D5" s="415"/>
      <c r="E5" s="415"/>
      <c r="F5" s="415"/>
      <c r="G5" s="502"/>
      <c r="H5" s="540" t="s">
        <v>273</v>
      </c>
      <c r="I5" s="540"/>
      <c r="J5" s="540"/>
      <c r="K5" s="540"/>
      <c r="L5" s="166"/>
      <c r="M5" s="166"/>
      <c r="N5" s="415"/>
      <c r="O5" s="415"/>
      <c r="P5" s="415"/>
      <c r="Q5" s="415"/>
      <c r="R5" s="415"/>
      <c r="S5" s="415"/>
      <c r="T5" s="415"/>
      <c r="U5" s="415"/>
      <c r="V5" s="415"/>
      <c r="W5" s="415"/>
      <c r="X5" s="415"/>
      <c r="Y5" s="415"/>
      <c r="Z5" s="415"/>
      <c r="AA5" s="415"/>
      <c r="AB5" s="41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65" customFormat="1" ht="15">
      <c r="A6" s="166"/>
      <c r="B6" s="166"/>
      <c r="C6" s="415" t="s">
        <v>54</v>
      </c>
      <c r="D6" s="233"/>
      <c r="E6" s="233"/>
      <c r="F6" s="260"/>
      <c r="G6" s="249"/>
      <c r="H6" s="235"/>
      <c r="I6" s="235"/>
      <c r="J6" s="235"/>
      <c r="K6" s="235">
        <v>0</v>
      </c>
      <c r="L6" s="251">
        <f>2!L200</f>
        <v>0</v>
      </c>
      <c r="M6" s="251">
        <f>2!M200</f>
        <v>0</v>
      </c>
      <c r="N6" s="251">
        <f>2!N200</f>
        <v>0</v>
      </c>
      <c r="O6" s="251">
        <f>2!O200</f>
        <v>0</v>
      </c>
      <c r="P6" s="251">
        <f>2!P200</f>
        <v>0</v>
      </c>
      <c r="Q6" s="251">
        <f>2!Q200</f>
        <v>0</v>
      </c>
      <c r="R6" s="251">
        <f>2!R200</f>
        <v>0</v>
      </c>
      <c r="S6" s="251">
        <f>2!S200</f>
        <v>0</v>
      </c>
      <c r="T6" s="251">
        <f>2!T200</f>
        <v>0</v>
      </c>
      <c r="U6" s="251">
        <f>2!U200</f>
        <v>0</v>
      </c>
      <c r="V6" s="251">
        <f>2!V200</f>
        <v>0</v>
      </c>
      <c r="W6" s="251">
        <f>2!W200</f>
        <v>0</v>
      </c>
      <c r="X6" s="251">
        <f>2!X200</f>
        <v>0</v>
      </c>
      <c r="Y6" s="251">
        <f>2!Y200</f>
        <v>0</v>
      </c>
      <c r="Z6" s="251">
        <f>2!Z200</f>
        <v>0</v>
      </c>
      <c r="AA6" s="251">
        <f>2!AA200</f>
        <v>0</v>
      </c>
      <c r="AB6" s="233"/>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65" customFormat="1" ht="25.5">
      <c r="A7" s="166"/>
      <c r="B7" s="166"/>
      <c r="C7" s="415" t="s">
        <v>55</v>
      </c>
      <c r="D7" s="233"/>
      <c r="E7" s="233"/>
      <c r="F7" s="260"/>
      <c r="G7" s="249"/>
      <c r="H7" s="235"/>
      <c r="I7" s="235"/>
      <c r="J7" s="235"/>
      <c r="K7" s="235">
        <v>0</v>
      </c>
      <c r="L7" s="251">
        <f>2!L201</f>
        <v>0</v>
      </c>
      <c r="M7" s="251">
        <f>2!M201</f>
        <v>0</v>
      </c>
      <c r="N7" s="251">
        <f>2!N201</f>
        <v>0</v>
      </c>
      <c r="O7" s="251">
        <f>2!O201</f>
        <v>0</v>
      </c>
      <c r="P7" s="251">
        <f>2!P201</f>
        <v>0</v>
      </c>
      <c r="Q7" s="251">
        <f>2!Q201</f>
        <v>0</v>
      </c>
      <c r="R7" s="251">
        <f>2!R201</f>
        <v>0</v>
      </c>
      <c r="S7" s="251">
        <f>2!S201</f>
        <v>0</v>
      </c>
      <c r="T7" s="251">
        <f>2!T201</f>
        <v>0</v>
      </c>
      <c r="U7" s="251">
        <f>2!U201</f>
        <v>0</v>
      </c>
      <c r="V7" s="251">
        <f>2!V201</f>
        <v>0</v>
      </c>
      <c r="W7" s="251">
        <f>2!W201</f>
        <v>0</v>
      </c>
      <c r="X7" s="251">
        <f>2!X201</f>
        <v>0</v>
      </c>
      <c r="Y7" s="251">
        <f>2!Y201</f>
        <v>0</v>
      </c>
      <c r="Z7" s="251">
        <f>2!Z201</f>
        <v>0</v>
      </c>
      <c r="AA7" s="251">
        <f>2!AA201</f>
        <v>0</v>
      </c>
      <c r="AB7" s="233"/>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5" customFormat="1" ht="25.5">
      <c r="A8" s="166"/>
      <c r="B8" s="166"/>
      <c r="C8" s="415" t="s">
        <v>56</v>
      </c>
      <c r="D8" s="233"/>
      <c r="E8" s="233"/>
      <c r="F8" s="260"/>
      <c r="G8" s="249"/>
      <c r="H8" s="235"/>
      <c r="I8" s="235"/>
      <c r="J8" s="235"/>
      <c r="K8" s="235">
        <v>0</v>
      </c>
      <c r="L8" s="251">
        <f>2!L202</f>
        <v>0</v>
      </c>
      <c r="M8" s="251">
        <f>2!M202</f>
        <v>0</v>
      </c>
      <c r="N8" s="251">
        <f>2!N202</f>
        <v>0</v>
      </c>
      <c r="O8" s="251">
        <f>2!O202</f>
        <v>0</v>
      </c>
      <c r="P8" s="251">
        <f>2!P202</f>
        <v>0</v>
      </c>
      <c r="Q8" s="251">
        <f>2!Q202</f>
        <v>0</v>
      </c>
      <c r="R8" s="251">
        <f>2!R202</f>
        <v>0</v>
      </c>
      <c r="S8" s="251">
        <f>2!S202</f>
        <v>0</v>
      </c>
      <c r="T8" s="251">
        <f>2!T202</f>
        <v>0</v>
      </c>
      <c r="U8" s="251">
        <f>2!U202</f>
        <v>0</v>
      </c>
      <c r="V8" s="251">
        <f>2!V202</f>
        <v>0</v>
      </c>
      <c r="W8" s="251">
        <f>2!W202</f>
        <v>0</v>
      </c>
      <c r="X8" s="251">
        <f>2!X202</f>
        <v>0</v>
      </c>
      <c r="Y8" s="251">
        <f>2!Y202</f>
        <v>0</v>
      </c>
      <c r="Z8" s="251">
        <f>2!Z202</f>
        <v>0</v>
      </c>
      <c r="AA8" s="251">
        <f>2!AA202</f>
        <v>0</v>
      </c>
      <c r="AB8" s="233"/>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5" customFormat="1" ht="25.5">
      <c r="A9" s="166"/>
      <c r="B9" s="166"/>
      <c r="C9" s="415" t="s">
        <v>672</v>
      </c>
      <c r="D9" s="233"/>
      <c r="E9" s="233"/>
      <c r="F9" s="260"/>
      <c r="G9" s="249"/>
      <c r="H9" s="235"/>
      <c r="I9" s="235"/>
      <c r="J9" s="235"/>
      <c r="K9" s="235">
        <v>0</v>
      </c>
      <c r="L9" s="251">
        <f>2!L203</f>
        <v>0</v>
      </c>
      <c r="M9" s="251">
        <f>2!M203</f>
        <v>0</v>
      </c>
      <c r="N9" s="251">
        <f>2!N203</f>
        <v>0</v>
      </c>
      <c r="O9" s="251">
        <f>2!O203</f>
        <v>0</v>
      </c>
      <c r="P9" s="251">
        <f>2!P203</f>
        <v>0</v>
      </c>
      <c r="Q9" s="251">
        <f>2!Q203</f>
        <v>0</v>
      </c>
      <c r="R9" s="251">
        <f>2!R203</f>
        <v>0</v>
      </c>
      <c r="S9" s="251">
        <f>2!S203</f>
        <v>0</v>
      </c>
      <c r="T9" s="251">
        <f>2!T203</f>
        <v>0</v>
      </c>
      <c r="U9" s="251">
        <f>2!U203</f>
        <v>0</v>
      </c>
      <c r="V9" s="251">
        <f>2!V203</f>
        <v>0</v>
      </c>
      <c r="W9" s="251">
        <f>2!W203</f>
        <v>0</v>
      </c>
      <c r="X9" s="251">
        <f>2!X203</f>
        <v>0</v>
      </c>
      <c r="Y9" s="251">
        <f>2!Y203</f>
        <v>0</v>
      </c>
      <c r="Z9" s="251">
        <f>2!Z203</f>
        <v>0</v>
      </c>
      <c r="AA9" s="251">
        <f>2!AA203</f>
        <v>0</v>
      </c>
      <c r="AB9" s="233"/>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65" customFormat="1" ht="15">
      <c r="A10" s="166"/>
      <c r="B10" s="166"/>
      <c r="C10" s="498" t="s">
        <v>689</v>
      </c>
      <c r="D10" s="233"/>
      <c r="E10" s="233"/>
      <c r="F10" s="260"/>
      <c r="G10" s="502"/>
      <c r="H10" s="540" t="s">
        <v>273</v>
      </c>
      <c r="I10" s="540"/>
      <c r="J10" s="540"/>
      <c r="K10" s="540"/>
      <c r="L10" s="166"/>
      <c r="M10" s="166"/>
      <c r="N10" s="260"/>
      <c r="O10" s="260"/>
      <c r="P10" s="260"/>
      <c r="Q10" s="260"/>
      <c r="R10" s="260"/>
      <c r="S10" s="260"/>
      <c r="T10" s="260"/>
      <c r="U10" s="260"/>
      <c r="V10" s="260"/>
      <c r="W10" s="260"/>
      <c r="X10" s="260"/>
      <c r="Y10" s="260"/>
      <c r="Z10" s="260"/>
      <c r="AA10" s="260"/>
      <c r="AB10" s="26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65" customFormat="1" ht="15">
      <c r="A11" s="166"/>
      <c r="B11" s="166"/>
      <c r="C11" s="415" t="s">
        <v>54</v>
      </c>
      <c r="D11" s="233"/>
      <c r="E11" s="233"/>
      <c r="F11" s="260"/>
      <c r="G11" s="249"/>
      <c r="H11" s="235"/>
      <c r="I11" s="235"/>
      <c r="J11" s="235"/>
      <c r="K11" s="235">
        <v>0</v>
      </c>
      <c r="L11" s="251">
        <f>L6*2!$G$13</f>
        <v>0</v>
      </c>
      <c r="M11" s="251">
        <f>M6*2!$G$13</f>
        <v>0</v>
      </c>
      <c r="N11" s="251">
        <f>N6*2!$G$13</f>
        <v>0</v>
      </c>
      <c r="O11" s="251">
        <f>O6*2!$G$13</f>
        <v>0</v>
      </c>
      <c r="P11" s="251">
        <f>P6*2!$G$13</f>
        <v>0</v>
      </c>
      <c r="Q11" s="251">
        <f>Q6*2!$G$13</f>
        <v>0</v>
      </c>
      <c r="R11" s="251">
        <f>R6*2!$G$13</f>
        <v>0</v>
      </c>
      <c r="S11" s="251">
        <f>S6*2!$G$13</f>
        <v>0</v>
      </c>
      <c r="T11" s="251">
        <f>T6*2!$G$13</f>
        <v>0</v>
      </c>
      <c r="U11" s="251">
        <f>U6*2!$G$13</f>
        <v>0</v>
      </c>
      <c r="V11" s="251">
        <f>V6*2!$G$13</f>
        <v>0</v>
      </c>
      <c r="W11" s="251">
        <f>W6*2!$G$13</f>
        <v>0</v>
      </c>
      <c r="X11" s="251">
        <f>X6*2!$G$13</f>
        <v>0</v>
      </c>
      <c r="Y11" s="251">
        <f>Y6*2!$G$13</f>
        <v>0</v>
      </c>
      <c r="Z11" s="251">
        <f>Z6*2!$G$13</f>
        <v>0</v>
      </c>
      <c r="AA11" s="251">
        <f>AA6*2!$G$13</f>
        <v>0</v>
      </c>
      <c r="AB11" s="233"/>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5" customFormat="1" ht="25.5">
      <c r="A12" s="166"/>
      <c r="B12" s="166"/>
      <c r="C12" s="415" t="s">
        <v>55</v>
      </c>
      <c r="D12" s="233"/>
      <c r="E12" s="233"/>
      <c r="F12" s="260"/>
      <c r="G12" s="249"/>
      <c r="H12" s="235"/>
      <c r="I12" s="235"/>
      <c r="J12" s="235"/>
      <c r="K12" s="235">
        <v>0</v>
      </c>
      <c r="L12" s="251">
        <f>L7*2!$G$13</f>
        <v>0</v>
      </c>
      <c r="M12" s="251">
        <f>M7*2!$G$13</f>
        <v>0</v>
      </c>
      <c r="N12" s="251">
        <f>N7*2!$G$13</f>
        <v>0</v>
      </c>
      <c r="O12" s="251">
        <f>O7*2!$G$13</f>
        <v>0</v>
      </c>
      <c r="P12" s="251">
        <f>P7*2!$G$13</f>
        <v>0</v>
      </c>
      <c r="Q12" s="251">
        <f>Q7*2!$G$13</f>
        <v>0</v>
      </c>
      <c r="R12" s="251">
        <f>R7*2!$G$13</f>
        <v>0</v>
      </c>
      <c r="S12" s="251">
        <f>S7*2!$G$13</f>
        <v>0</v>
      </c>
      <c r="T12" s="251">
        <f>T7*2!$G$13</f>
        <v>0</v>
      </c>
      <c r="U12" s="251">
        <f>U7*2!$G$13</f>
        <v>0</v>
      </c>
      <c r="V12" s="251">
        <f>V7*2!$G$13</f>
        <v>0</v>
      </c>
      <c r="W12" s="251">
        <f>W7*2!$G$13</f>
        <v>0</v>
      </c>
      <c r="X12" s="251">
        <f>X7*2!$G$13</f>
        <v>0</v>
      </c>
      <c r="Y12" s="251">
        <f>Y7*2!$G$13</f>
        <v>0</v>
      </c>
      <c r="Z12" s="251">
        <f>Z7*2!$G$13</f>
        <v>0</v>
      </c>
      <c r="AA12" s="251">
        <f>AA7*2!$G$13</f>
        <v>0</v>
      </c>
      <c r="AB12" s="233"/>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65" customFormat="1" ht="25.5">
      <c r="A13" s="166"/>
      <c r="B13" s="166"/>
      <c r="C13" s="415" t="s">
        <v>56</v>
      </c>
      <c r="D13" s="233"/>
      <c r="E13" s="233"/>
      <c r="F13" s="260"/>
      <c r="G13" s="249"/>
      <c r="H13" s="235"/>
      <c r="I13" s="235"/>
      <c r="J13" s="235"/>
      <c r="K13" s="235">
        <v>0</v>
      </c>
      <c r="L13" s="251">
        <f>L8*2!$G$13</f>
        <v>0</v>
      </c>
      <c r="M13" s="251">
        <f>M8*2!$G$13</f>
        <v>0</v>
      </c>
      <c r="N13" s="251">
        <f>N8*2!$G$13</f>
        <v>0</v>
      </c>
      <c r="O13" s="251">
        <f>O8*2!$G$13</f>
        <v>0</v>
      </c>
      <c r="P13" s="251">
        <f>P8*2!$G$13</f>
        <v>0</v>
      </c>
      <c r="Q13" s="251">
        <f>Q8*2!$G$13</f>
        <v>0</v>
      </c>
      <c r="R13" s="251">
        <f>R8*2!$G$13</f>
        <v>0</v>
      </c>
      <c r="S13" s="251">
        <f>S8*2!$G$13</f>
        <v>0</v>
      </c>
      <c r="T13" s="251">
        <f>T8*2!$G$13</f>
        <v>0</v>
      </c>
      <c r="U13" s="251">
        <f>U8*2!$G$13</f>
        <v>0</v>
      </c>
      <c r="V13" s="251">
        <f>V8*2!$G$13</f>
        <v>0</v>
      </c>
      <c r="W13" s="251">
        <f>W8*2!$G$13</f>
        <v>0</v>
      </c>
      <c r="X13" s="251">
        <f>X8*2!$G$13</f>
        <v>0</v>
      </c>
      <c r="Y13" s="251">
        <f>Y8*2!$G$13</f>
        <v>0</v>
      </c>
      <c r="Z13" s="251">
        <f>Z8*2!$G$13</f>
        <v>0</v>
      </c>
      <c r="AA13" s="251">
        <f>AA8*2!$G$13</f>
        <v>0</v>
      </c>
      <c r="AB13" s="23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65" customFormat="1" ht="25.5">
      <c r="A14" s="166"/>
      <c r="B14" s="166"/>
      <c r="C14" s="415" t="s">
        <v>672</v>
      </c>
      <c r="D14" s="233"/>
      <c r="E14" s="233"/>
      <c r="F14" s="260"/>
      <c r="G14" s="249"/>
      <c r="H14" s="235"/>
      <c r="I14" s="235"/>
      <c r="J14" s="235"/>
      <c r="K14" s="235">
        <v>0</v>
      </c>
      <c r="L14" s="251">
        <f>L9*2!$G$13</f>
        <v>0</v>
      </c>
      <c r="M14" s="251">
        <f>M9*2!$G$13</f>
        <v>0</v>
      </c>
      <c r="N14" s="251">
        <f>N9*2!$G$13</f>
        <v>0</v>
      </c>
      <c r="O14" s="251">
        <f>O9*2!$G$13</f>
        <v>0</v>
      </c>
      <c r="P14" s="251">
        <f>P9*2!$G$13</f>
        <v>0</v>
      </c>
      <c r="Q14" s="251">
        <f>Q9*2!$G$13</f>
        <v>0</v>
      </c>
      <c r="R14" s="251">
        <f>R9*2!$G$13</f>
        <v>0</v>
      </c>
      <c r="S14" s="251">
        <f>S9*2!$G$13</f>
        <v>0</v>
      </c>
      <c r="T14" s="251">
        <f>T9*2!$G$13</f>
        <v>0</v>
      </c>
      <c r="U14" s="251">
        <f>U9*2!$G$13</f>
        <v>0</v>
      </c>
      <c r="V14" s="251">
        <f>V9*2!$G$13</f>
        <v>0</v>
      </c>
      <c r="W14" s="251">
        <f>W9*2!$G$13</f>
        <v>0</v>
      </c>
      <c r="X14" s="251">
        <f>X9*2!$G$13</f>
        <v>0</v>
      </c>
      <c r="Y14" s="251">
        <f>Y9*2!$G$13</f>
        <v>0</v>
      </c>
      <c r="Z14" s="251">
        <f>Z9*2!$G$13</f>
        <v>0</v>
      </c>
      <c r="AA14" s="251">
        <f>AA9*2!$G$13</f>
        <v>0</v>
      </c>
      <c r="AB14" s="233"/>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5" customFormat="1" ht="15">
      <c r="A15" s="166"/>
      <c r="B15" s="166"/>
      <c r="C15" s="498" t="s">
        <v>690</v>
      </c>
      <c r="D15" s="233"/>
      <c r="E15" s="233"/>
      <c r="F15" s="260"/>
      <c r="G15" s="502"/>
      <c r="H15" s="540" t="s">
        <v>273</v>
      </c>
      <c r="I15" s="540"/>
      <c r="J15" s="540"/>
      <c r="K15" s="540"/>
      <c r="L15" s="260"/>
      <c r="M15" s="260"/>
      <c r="N15" s="260"/>
      <c r="O15" s="260"/>
      <c r="P15" s="260"/>
      <c r="Q15" s="260"/>
      <c r="R15" s="260"/>
      <c r="S15" s="260"/>
      <c r="T15" s="260"/>
      <c r="U15" s="260"/>
      <c r="V15" s="260"/>
      <c r="W15" s="260"/>
      <c r="X15" s="260"/>
      <c r="Y15" s="260"/>
      <c r="Z15" s="260"/>
      <c r="AA15" s="260"/>
      <c r="AB15" s="260"/>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5" customFormat="1" ht="15">
      <c r="A16" s="166"/>
      <c r="B16" s="166"/>
      <c r="C16" s="415" t="s">
        <v>54</v>
      </c>
      <c r="D16" s="233"/>
      <c r="E16" s="233"/>
      <c r="F16" s="260"/>
      <c r="G16" s="249"/>
      <c r="H16" s="235"/>
      <c r="I16" s="235"/>
      <c r="J16" s="235"/>
      <c r="K16" s="235">
        <v>0</v>
      </c>
      <c r="L16" s="251">
        <f>L6*2!L13</f>
        <v>0</v>
      </c>
      <c r="M16" s="251">
        <f>M6*2!M13</f>
        <v>0</v>
      </c>
      <c r="N16" s="251">
        <f>N6*2!N13</f>
        <v>0</v>
      </c>
      <c r="O16" s="251">
        <f>O6*2!O13</f>
        <v>0</v>
      </c>
      <c r="P16" s="251">
        <f>P6*2!P13</f>
        <v>0</v>
      </c>
      <c r="Q16" s="251">
        <f>Q6*2!Q13</f>
        <v>0</v>
      </c>
      <c r="R16" s="251">
        <f>R6*2!R13</f>
        <v>0</v>
      </c>
      <c r="S16" s="251">
        <f>S6*2!S13</f>
        <v>0</v>
      </c>
      <c r="T16" s="251">
        <f>T6*2!T13</f>
        <v>0</v>
      </c>
      <c r="U16" s="251">
        <f>U6*2!U13</f>
        <v>0</v>
      </c>
      <c r="V16" s="251">
        <f>V6*2!V13</f>
        <v>0</v>
      </c>
      <c r="W16" s="251">
        <f>W6*2!W13</f>
        <v>0</v>
      </c>
      <c r="X16" s="251">
        <f>X6*2!X13</f>
        <v>0</v>
      </c>
      <c r="Y16" s="251">
        <f>Y6*2!Y13</f>
        <v>0</v>
      </c>
      <c r="Z16" s="251">
        <f>Z6*2!Z13</f>
        <v>0</v>
      </c>
      <c r="AA16" s="251">
        <f>AA6*2!AA13</f>
        <v>0</v>
      </c>
      <c r="AB16" s="233"/>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9" s="265" customFormat="1" ht="25.5">
      <c r="A17" s="166"/>
      <c r="B17" s="166"/>
      <c r="C17" s="415" t="s">
        <v>55</v>
      </c>
      <c r="D17" s="233"/>
      <c r="E17" s="233"/>
      <c r="F17" s="260"/>
      <c r="G17" s="249"/>
      <c r="H17" s="235"/>
      <c r="I17" s="235"/>
      <c r="J17" s="235"/>
      <c r="K17" s="235">
        <v>0</v>
      </c>
      <c r="L17" s="251">
        <f>L7*2!L14</f>
        <v>0</v>
      </c>
      <c r="M17" s="251">
        <f>M7*2!M14</f>
        <v>0</v>
      </c>
      <c r="N17" s="251">
        <f>N7*2!N14</f>
        <v>0</v>
      </c>
      <c r="O17" s="251">
        <f>O7*2!O14</f>
        <v>0</v>
      </c>
      <c r="P17" s="251">
        <f>P7*2!P14</f>
        <v>0</v>
      </c>
      <c r="Q17" s="251">
        <f>Q7*2!Q14</f>
        <v>0</v>
      </c>
      <c r="R17" s="251">
        <f>R7*2!R14</f>
        <v>0</v>
      </c>
      <c r="S17" s="251">
        <f>S7*2!S14</f>
        <v>0</v>
      </c>
      <c r="T17" s="251">
        <f>T7*2!T14</f>
        <v>0</v>
      </c>
      <c r="U17" s="251">
        <f>U7*2!U14</f>
        <v>0</v>
      </c>
      <c r="V17" s="251">
        <f>V7*2!V14</f>
        <v>0</v>
      </c>
      <c r="W17" s="251">
        <f>W7*2!W14</f>
        <v>0</v>
      </c>
      <c r="X17" s="251">
        <f>X7*2!X14</f>
        <v>0</v>
      </c>
      <c r="Y17" s="251">
        <f>Y7*2!Y14</f>
        <v>0</v>
      </c>
      <c r="Z17" s="251">
        <f>Z7*2!Z14</f>
        <v>0</v>
      </c>
      <c r="AA17" s="251">
        <f>AA7*2!AA14</f>
        <v>0</v>
      </c>
      <c r="AB17" s="233"/>
      <c r="AC17"/>
    </row>
    <row r="18" spans="1:29" s="265" customFormat="1" ht="25.5">
      <c r="A18" s="166"/>
      <c r="B18" s="166"/>
      <c r="C18" s="415" t="s">
        <v>56</v>
      </c>
      <c r="D18" s="233"/>
      <c r="E18" s="233"/>
      <c r="F18" s="260"/>
      <c r="G18" s="249"/>
      <c r="H18" s="235"/>
      <c r="I18" s="235"/>
      <c r="J18" s="235"/>
      <c r="K18" s="235">
        <v>0</v>
      </c>
      <c r="L18" s="251">
        <f>L8*2!L15</f>
        <v>0</v>
      </c>
      <c r="M18" s="251">
        <f>M8*2!M15</f>
        <v>0</v>
      </c>
      <c r="N18" s="251">
        <f>N8*2!N15</f>
        <v>0</v>
      </c>
      <c r="O18" s="251">
        <f>O8*2!O15</f>
        <v>0</v>
      </c>
      <c r="P18" s="251">
        <f>P8*2!P15</f>
        <v>0</v>
      </c>
      <c r="Q18" s="251">
        <f>Q8*2!Q15</f>
        <v>0</v>
      </c>
      <c r="R18" s="251">
        <f>R8*2!R15</f>
        <v>0</v>
      </c>
      <c r="S18" s="251">
        <f>S8*2!S15</f>
        <v>0</v>
      </c>
      <c r="T18" s="251">
        <f>T8*2!T15</f>
        <v>0</v>
      </c>
      <c r="U18" s="251">
        <f>U8*2!U15</f>
        <v>0</v>
      </c>
      <c r="V18" s="251">
        <f>V8*2!V15</f>
        <v>0</v>
      </c>
      <c r="W18" s="251">
        <f>W8*2!W15</f>
        <v>0</v>
      </c>
      <c r="X18" s="251">
        <f>X8*2!X15</f>
        <v>0</v>
      </c>
      <c r="Y18" s="251">
        <f>Y8*2!Y15</f>
        <v>0</v>
      </c>
      <c r="Z18" s="251">
        <f>Z8*2!Z15</f>
        <v>0</v>
      </c>
      <c r="AA18" s="251">
        <f>AA8*2!AA15</f>
        <v>0</v>
      </c>
      <c r="AB18" s="233"/>
      <c r="AC18"/>
    </row>
    <row r="19" spans="1:29" s="265" customFormat="1" ht="25.5">
      <c r="A19" s="166"/>
      <c r="B19" s="166"/>
      <c r="C19" s="415" t="s">
        <v>672</v>
      </c>
      <c r="D19" s="233"/>
      <c r="E19" s="233"/>
      <c r="F19" s="260"/>
      <c r="G19" s="249"/>
      <c r="H19" s="235"/>
      <c r="I19" s="235"/>
      <c r="J19" s="235"/>
      <c r="K19" s="235">
        <v>0</v>
      </c>
      <c r="L19" s="251">
        <f>L9*2!L16</f>
        <v>0</v>
      </c>
      <c r="M19" s="251">
        <f>M9*2!M16</f>
        <v>0</v>
      </c>
      <c r="N19" s="251">
        <f>N9*2!N16</f>
        <v>0</v>
      </c>
      <c r="O19" s="251">
        <f>O9*2!O16</f>
        <v>0</v>
      </c>
      <c r="P19" s="251">
        <f>P9*2!P16</f>
        <v>0</v>
      </c>
      <c r="Q19" s="251">
        <f>Q9*2!Q16</f>
        <v>0</v>
      </c>
      <c r="R19" s="251">
        <f>R9*2!R16</f>
        <v>0</v>
      </c>
      <c r="S19" s="251">
        <f>S9*2!S16</f>
        <v>0</v>
      </c>
      <c r="T19" s="251">
        <f>T9*2!T16</f>
        <v>0</v>
      </c>
      <c r="U19" s="251">
        <f>U9*2!U16</f>
        <v>0</v>
      </c>
      <c r="V19" s="251">
        <f>V9*2!V16</f>
        <v>0</v>
      </c>
      <c r="W19" s="251">
        <f>W9*2!W16</f>
        <v>0</v>
      </c>
      <c r="X19" s="251">
        <f>X9*2!X16</f>
        <v>0</v>
      </c>
      <c r="Y19" s="251">
        <f>Y9*2!Y16</f>
        <v>0</v>
      </c>
      <c r="Z19" s="251">
        <f>Z9*2!Z16</f>
        <v>0</v>
      </c>
      <c r="AA19" s="251">
        <f>AA9*2!AA16</f>
        <v>0</v>
      </c>
      <c r="AB19" s="233"/>
      <c r="AC19"/>
    </row>
    <row r="20" spans="7:11" ht="15">
      <c r="G20" s="160"/>
      <c r="H20" s="160"/>
      <c r="I20" s="160"/>
      <c r="J20" s="160"/>
      <c r="K20" s="160"/>
    </row>
    <row r="21" spans="3:11" ht="15">
      <c r="C21" s="499" t="s">
        <v>411</v>
      </c>
      <c r="G21" s="502"/>
      <c r="H21" s="540" t="s">
        <v>273</v>
      </c>
      <c r="I21" s="540"/>
      <c r="J21" s="540"/>
      <c r="K21" s="540"/>
    </row>
    <row r="22" spans="3:27" ht="15">
      <c r="C22" s="415" t="s">
        <v>54</v>
      </c>
      <c r="G22" s="249"/>
      <c r="H22" s="235"/>
      <c r="I22" s="235"/>
      <c r="J22" s="235"/>
      <c r="K22" s="235">
        <v>0</v>
      </c>
      <c r="L22" s="492">
        <f aca="true" t="shared" si="0" ref="L22:Y22">L16-L11</f>
        <v>0</v>
      </c>
      <c r="M22" s="492">
        <f t="shared" si="0"/>
        <v>0</v>
      </c>
      <c r="N22" s="492">
        <f t="shared" si="0"/>
        <v>0</v>
      </c>
      <c r="O22" s="492">
        <f t="shared" si="0"/>
        <v>0</v>
      </c>
      <c r="P22" s="492">
        <f t="shared" si="0"/>
        <v>0</v>
      </c>
      <c r="Q22" s="492">
        <f t="shared" si="0"/>
        <v>0</v>
      </c>
      <c r="R22" s="492">
        <f t="shared" si="0"/>
        <v>0</v>
      </c>
      <c r="S22" s="492">
        <f t="shared" si="0"/>
        <v>0</v>
      </c>
      <c r="T22" s="492">
        <f t="shared" si="0"/>
        <v>0</v>
      </c>
      <c r="U22" s="492">
        <f t="shared" si="0"/>
        <v>0</v>
      </c>
      <c r="V22" s="492">
        <f t="shared" si="0"/>
        <v>0</v>
      </c>
      <c r="W22" s="492">
        <f t="shared" si="0"/>
        <v>0</v>
      </c>
      <c r="X22" s="492">
        <f t="shared" si="0"/>
        <v>0</v>
      </c>
      <c r="Y22" s="492">
        <f t="shared" si="0"/>
        <v>0</v>
      </c>
      <c r="Z22" s="492">
        <f aca="true" t="shared" si="1" ref="Z22:AA25">Z16-Z11</f>
        <v>0</v>
      </c>
      <c r="AA22" s="492">
        <f t="shared" si="1"/>
        <v>0</v>
      </c>
    </row>
    <row r="23" spans="3:27" ht="25.5">
      <c r="C23" s="415" t="s">
        <v>55</v>
      </c>
      <c r="G23" s="249"/>
      <c r="H23" s="235"/>
      <c r="I23" s="235"/>
      <c r="J23" s="235"/>
      <c r="K23" s="235">
        <v>0</v>
      </c>
      <c r="L23" s="492">
        <f aca="true" t="shared" si="2" ref="L23:Y23">L17-L12</f>
        <v>0</v>
      </c>
      <c r="M23" s="492">
        <f t="shared" si="2"/>
        <v>0</v>
      </c>
      <c r="N23" s="492">
        <f t="shared" si="2"/>
        <v>0</v>
      </c>
      <c r="O23" s="492">
        <f t="shared" si="2"/>
        <v>0</v>
      </c>
      <c r="P23" s="492">
        <f t="shared" si="2"/>
        <v>0</v>
      </c>
      <c r="Q23" s="492">
        <f t="shared" si="2"/>
        <v>0</v>
      </c>
      <c r="R23" s="492">
        <f t="shared" si="2"/>
        <v>0</v>
      </c>
      <c r="S23" s="492">
        <f t="shared" si="2"/>
        <v>0</v>
      </c>
      <c r="T23" s="492">
        <f t="shared" si="2"/>
        <v>0</v>
      </c>
      <c r="U23" s="492">
        <f t="shared" si="2"/>
        <v>0</v>
      </c>
      <c r="V23" s="492">
        <f t="shared" si="2"/>
        <v>0</v>
      </c>
      <c r="W23" s="492">
        <f t="shared" si="2"/>
        <v>0</v>
      </c>
      <c r="X23" s="492">
        <f t="shared" si="2"/>
        <v>0</v>
      </c>
      <c r="Y23" s="492">
        <f t="shared" si="2"/>
        <v>0</v>
      </c>
      <c r="Z23" s="492">
        <f t="shared" si="1"/>
        <v>0</v>
      </c>
      <c r="AA23" s="492">
        <f t="shared" si="1"/>
        <v>0</v>
      </c>
    </row>
    <row r="24" spans="3:27" ht="25.5">
      <c r="C24" s="415" t="s">
        <v>56</v>
      </c>
      <c r="G24" s="249"/>
      <c r="H24" s="235"/>
      <c r="I24" s="235"/>
      <c r="J24" s="235"/>
      <c r="K24" s="235">
        <v>0</v>
      </c>
      <c r="L24" s="492">
        <f aca="true" t="shared" si="3" ref="L24:Y24">L18-L13</f>
        <v>0</v>
      </c>
      <c r="M24" s="492">
        <f t="shared" si="3"/>
        <v>0</v>
      </c>
      <c r="N24" s="492">
        <f t="shared" si="3"/>
        <v>0</v>
      </c>
      <c r="O24" s="492">
        <f t="shared" si="3"/>
        <v>0</v>
      </c>
      <c r="P24" s="492">
        <f t="shared" si="3"/>
        <v>0</v>
      </c>
      <c r="Q24" s="492">
        <f t="shared" si="3"/>
        <v>0</v>
      </c>
      <c r="R24" s="492">
        <f t="shared" si="3"/>
        <v>0</v>
      </c>
      <c r="S24" s="492">
        <f t="shared" si="3"/>
        <v>0</v>
      </c>
      <c r="T24" s="492">
        <f t="shared" si="3"/>
        <v>0</v>
      </c>
      <c r="U24" s="492">
        <f t="shared" si="3"/>
        <v>0</v>
      </c>
      <c r="V24" s="492">
        <f t="shared" si="3"/>
        <v>0</v>
      </c>
      <c r="W24" s="492">
        <f t="shared" si="3"/>
        <v>0</v>
      </c>
      <c r="X24" s="492">
        <f t="shared" si="3"/>
        <v>0</v>
      </c>
      <c r="Y24" s="492">
        <f t="shared" si="3"/>
        <v>0</v>
      </c>
      <c r="Z24" s="492">
        <f t="shared" si="1"/>
        <v>0</v>
      </c>
      <c r="AA24" s="492">
        <f t="shared" si="1"/>
        <v>0</v>
      </c>
    </row>
    <row r="25" spans="3:27" ht="25.5">
      <c r="C25" s="415" t="s">
        <v>672</v>
      </c>
      <c r="G25" s="249"/>
      <c r="H25" s="235"/>
      <c r="I25" s="235"/>
      <c r="J25" s="235"/>
      <c r="K25" s="235">
        <v>0</v>
      </c>
      <c r="L25" s="492">
        <f aca="true" t="shared" si="4" ref="L25:Y25">L19-L14</f>
        <v>0</v>
      </c>
      <c r="M25" s="492">
        <f t="shared" si="4"/>
        <v>0</v>
      </c>
      <c r="N25" s="492">
        <f t="shared" si="4"/>
        <v>0</v>
      </c>
      <c r="O25" s="492">
        <f t="shared" si="4"/>
        <v>0</v>
      </c>
      <c r="P25" s="492">
        <f t="shared" si="4"/>
        <v>0</v>
      </c>
      <c r="Q25" s="492">
        <f t="shared" si="4"/>
        <v>0</v>
      </c>
      <c r="R25" s="492">
        <f t="shared" si="4"/>
        <v>0</v>
      </c>
      <c r="S25" s="492">
        <f t="shared" si="4"/>
        <v>0</v>
      </c>
      <c r="T25" s="492">
        <f t="shared" si="4"/>
        <v>0</v>
      </c>
      <c r="U25" s="492">
        <f t="shared" si="4"/>
        <v>0</v>
      </c>
      <c r="V25" s="492">
        <f t="shared" si="4"/>
        <v>0</v>
      </c>
      <c r="W25" s="492">
        <f t="shared" si="4"/>
        <v>0</v>
      </c>
      <c r="X25" s="492">
        <f t="shared" si="4"/>
        <v>0</v>
      </c>
      <c r="Y25" s="492">
        <f t="shared" si="4"/>
        <v>0</v>
      </c>
      <c r="Z25" s="492">
        <f t="shared" si="1"/>
        <v>0</v>
      </c>
      <c r="AA25" s="492">
        <f t="shared" si="1"/>
        <v>0</v>
      </c>
    </row>
    <row r="26" spans="7:11" ht="15">
      <c r="G26" s="160"/>
      <c r="H26" s="160"/>
      <c r="I26" s="160"/>
      <c r="J26" s="160"/>
      <c r="K26" s="160"/>
    </row>
    <row r="27" spans="1:29" s="265" customFormat="1" ht="15">
      <c r="A27" s="263"/>
      <c r="B27" s="263" t="s">
        <v>187</v>
      </c>
      <c r="C27" s="417"/>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row>
    <row r="28" spans="3:11" ht="15">
      <c r="C28" s="499" t="s">
        <v>691</v>
      </c>
      <c r="G28" s="502"/>
      <c r="H28" s="540" t="s">
        <v>273</v>
      </c>
      <c r="I28" s="540"/>
      <c r="J28" s="540"/>
      <c r="K28" s="540"/>
    </row>
    <row r="29" spans="3:27" ht="15">
      <c r="C29" s="415" t="s">
        <v>54</v>
      </c>
      <c r="G29" s="249"/>
      <c r="H29" s="235"/>
      <c r="I29" s="235"/>
      <c r="J29" s="235"/>
      <c r="K29" s="235">
        <v>0</v>
      </c>
      <c r="L29">
        <f>2!L76-2!L47</f>
        <v>0</v>
      </c>
      <c r="M29">
        <f>2!M76-2!M47</f>
        <v>0</v>
      </c>
      <c r="N29">
        <f>2!N76-2!N47</f>
        <v>0</v>
      </c>
      <c r="O29">
        <f>2!O76-2!O47</f>
        <v>0</v>
      </c>
      <c r="P29">
        <f>2!P76-2!P47</f>
        <v>0</v>
      </c>
      <c r="Q29">
        <f>2!Q76-2!Q47</f>
        <v>0</v>
      </c>
      <c r="R29">
        <f>2!R76-2!R47</f>
        <v>0</v>
      </c>
      <c r="S29">
        <f>2!S76-2!S47</f>
        <v>0</v>
      </c>
      <c r="T29">
        <f>2!T76-2!T47</f>
        <v>0</v>
      </c>
      <c r="U29">
        <f>2!U76-2!U47</f>
        <v>0</v>
      </c>
      <c r="V29">
        <f>2!V76-2!V47</f>
        <v>0</v>
      </c>
      <c r="W29">
        <f>2!W76-2!W47</f>
        <v>0</v>
      </c>
      <c r="X29">
        <f>2!X76-2!X47</f>
        <v>0</v>
      </c>
      <c r="Y29">
        <f>2!Y76-2!Y47</f>
        <v>0</v>
      </c>
      <c r="Z29">
        <f>2!Z76-2!Z47</f>
        <v>0</v>
      </c>
      <c r="AA29">
        <f>2!AA76-2!AA47</f>
        <v>0</v>
      </c>
    </row>
    <row r="30" spans="3:27" ht="25.5">
      <c r="C30" s="415" t="s">
        <v>55</v>
      </c>
      <c r="G30" s="249"/>
      <c r="H30" s="235"/>
      <c r="I30" s="235"/>
      <c r="J30" s="235"/>
      <c r="K30" s="235">
        <v>0</v>
      </c>
      <c r="L30">
        <f>2!L77-2!L48</f>
        <v>0</v>
      </c>
      <c r="M30">
        <f>2!M77-2!M48</f>
        <v>0</v>
      </c>
      <c r="N30">
        <f>2!N77-2!N48</f>
        <v>0</v>
      </c>
      <c r="O30">
        <f>2!O77-2!O48</f>
        <v>0</v>
      </c>
      <c r="P30">
        <f>2!P77-2!P48</f>
        <v>0</v>
      </c>
      <c r="Q30">
        <f>2!Q77-2!Q48</f>
        <v>0</v>
      </c>
      <c r="R30">
        <f>2!R77-2!R48</f>
        <v>0</v>
      </c>
      <c r="S30">
        <f>2!S77-2!S48</f>
        <v>0</v>
      </c>
      <c r="T30">
        <f>2!T77-2!T48</f>
        <v>0</v>
      </c>
      <c r="U30">
        <f>2!U77-2!U48</f>
        <v>0</v>
      </c>
      <c r="V30">
        <f>2!V77-2!V48</f>
        <v>0</v>
      </c>
      <c r="W30">
        <f>2!W77-2!W48</f>
        <v>0</v>
      </c>
      <c r="X30">
        <f>2!X77-2!X48</f>
        <v>0</v>
      </c>
      <c r="Y30">
        <f>2!Y77-2!Y48</f>
        <v>0</v>
      </c>
      <c r="Z30">
        <f>2!Z77-2!Z48</f>
        <v>0</v>
      </c>
      <c r="AA30">
        <f>2!AA77-2!AA48</f>
        <v>0</v>
      </c>
    </row>
    <row r="31" spans="3:27" ht="25.5">
      <c r="C31" s="415" t="s">
        <v>56</v>
      </c>
      <c r="G31" s="249"/>
      <c r="H31" s="235"/>
      <c r="I31" s="235"/>
      <c r="J31" s="235"/>
      <c r="K31" s="235">
        <v>0</v>
      </c>
      <c r="L31">
        <f>2!L78-2!L49</f>
        <v>0</v>
      </c>
      <c r="M31">
        <f>2!M78-2!M49</f>
        <v>0</v>
      </c>
      <c r="N31">
        <f>2!N78-2!N49</f>
        <v>0</v>
      </c>
      <c r="O31">
        <f>2!O78-2!O49</f>
        <v>0</v>
      </c>
      <c r="P31">
        <f>2!P78-2!P49</f>
        <v>0</v>
      </c>
      <c r="Q31">
        <f>2!Q78-2!Q49</f>
        <v>0</v>
      </c>
      <c r="R31">
        <f>2!R78-2!R49</f>
        <v>0</v>
      </c>
      <c r="S31">
        <f>2!S78-2!S49</f>
        <v>0</v>
      </c>
      <c r="T31">
        <f>2!T78-2!T49</f>
        <v>0</v>
      </c>
      <c r="U31">
        <f>2!U78-2!U49</f>
        <v>0</v>
      </c>
      <c r="V31">
        <f>2!V78-2!V49</f>
        <v>0</v>
      </c>
      <c r="W31">
        <f>2!W78-2!W49</f>
        <v>0</v>
      </c>
      <c r="X31">
        <f>2!X78-2!X49</f>
        <v>0</v>
      </c>
      <c r="Y31">
        <f>2!Y78-2!Y49</f>
        <v>0</v>
      </c>
      <c r="Z31">
        <f>2!Z78-2!Z49</f>
        <v>0</v>
      </c>
      <c r="AA31">
        <f>2!AA78-2!AA49</f>
        <v>0</v>
      </c>
    </row>
    <row r="32" spans="3:27" ht="25.5">
      <c r="C32" s="415" t="s">
        <v>672</v>
      </c>
      <c r="G32" s="249"/>
      <c r="H32" s="235"/>
      <c r="I32" s="235"/>
      <c r="J32" s="235"/>
      <c r="K32" s="235">
        <v>0</v>
      </c>
      <c r="L32">
        <f>2!L79-2!L50</f>
        <v>0</v>
      </c>
      <c r="M32">
        <f>2!M79-2!M50</f>
        <v>0</v>
      </c>
      <c r="N32">
        <f>2!N79-2!N50</f>
        <v>0</v>
      </c>
      <c r="O32">
        <f>2!O79-2!O50</f>
        <v>0</v>
      </c>
      <c r="P32">
        <f>2!P79-2!P50</f>
        <v>0</v>
      </c>
      <c r="Q32">
        <f>2!Q79-2!Q50</f>
        <v>0</v>
      </c>
      <c r="R32">
        <f>2!R79-2!R50</f>
        <v>0</v>
      </c>
      <c r="S32">
        <f>2!S79-2!S50</f>
        <v>0</v>
      </c>
      <c r="T32">
        <f>2!T79-2!T50</f>
        <v>0</v>
      </c>
      <c r="U32">
        <f>2!U79-2!U50</f>
        <v>0</v>
      </c>
      <c r="V32">
        <f>2!V79-2!V50</f>
        <v>0</v>
      </c>
      <c r="W32">
        <f>2!W79-2!W50</f>
        <v>0</v>
      </c>
      <c r="X32">
        <f>2!X79-2!X50</f>
        <v>0</v>
      </c>
      <c r="Y32">
        <f>2!Y79-2!Y50</f>
        <v>0</v>
      </c>
      <c r="Z32">
        <f>2!Z79-2!Z50</f>
        <v>0</v>
      </c>
      <c r="AA32">
        <f>2!AA79-2!AA50</f>
        <v>0</v>
      </c>
    </row>
    <row r="33" spans="7:11" ht="15">
      <c r="G33" s="160"/>
      <c r="H33" s="160"/>
      <c r="I33" s="160"/>
      <c r="J33" s="160"/>
      <c r="K33" s="160"/>
    </row>
    <row r="34" spans="1:29" s="265" customFormat="1" ht="15">
      <c r="A34" s="263"/>
      <c r="B34" s="263" t="s">
        <v>187</v>
      </c>
      <c r="C34" s="417" t="s">
        <v>677</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row>
    <row r="35" spans="3:8" ht="15">
      <c r="C35" s="495" t="s">
        <v>679</v>
      </c>
      <c r="D35" s="293" t="s">
        <v>713</v>
      </c>
      <c r="G35" s="293" t="s">
        <v>678</v>
      </c>
      <c r="H35" s="293" t="s">
        <v>696</v>
      </c>
    </row>
    <row r="36" spans="3:27" ht="15">
      <c r="C36" s="415" t="s">
        <v>54</v>
      </c>
      <c r="D36" s="293">
        <v>6504</v>
      </c>
      <c r="G36">
        <v>3</v>
      </c>
      <c r="H36" s="293">
        <f>D36*G36</f>
        <v>19512</v>
      </c>
      <c r="K36" s="471"/>
      <c r="L36" s="471">
        <f>(L29-L22)*(1-2!$F$17*2)*-$H36</f>
        <v>0</v>
      </c>
      <c r="M36" s="471">
        <f>(M29-M22)*(1-2!$F$17*2)*-$H36</f>
        <v>0</v>
      </c>
      <c r="N36" s="471">
        <f>(N29-N22)*(1-2!$F$17*2)*-$H36</f>
        <v>0</v>
      </c>
      <c r="O36" s="471">
        <f>(O29-O22)*(1-2!$F$17*2)*-$H36</f>
        <v>0</v>
      </c>
      <c r="P36" s="471">
        <f>(P29-P22)*(1-2!$F$17*2)*-$H36</f>
        <v>0</v>
      </c>
      <c r="Q36" s="471">
        <f>(Q29-Q22)*(1-2!$F$17*2)*-$H36</f>
        <v>0</v>
      </c>
      <c r="R36" s="471">
        <f>(R29-R22)*(1-2!$F$17*2)*-$H36</f>
        <v>0</v>
      </c>
      <c r="S36" s="471">
        <f>(S29-S22)*(1-2!$F$17*2)*-$H36</f>
        <v>0</v>
      </c>
      <c r="T36" s="471">
        <f>(T29-T22)*(1-2!$F$17*2)*-$H36</f>
        <v>0</v>
      </c>
      <c r="U36" s="471">
        <f>(U29-U22)*(1-2!$F$17*2)*-$H36</f>
        <v>0</v>
      </c>
      <c r="V36" s="471">
        <f>(V29-V22)*(1-2!$F$17*2)*-$H36</f>
        <v>0</v>
      </c>
      <c r="W36" s="471">
        <f>(W29-W22)*(1-2!$F$17*2)*-$H36</f>
        <v>0</v>
      </c>
      <c r="X36" s="471">
        <f>(X29-X22)*(1-2!$F$17*2)*-$H36</f>
        <v>0</v>
      </c>
      <c r="Y36" s="471">
        <f>(Y29-Y22)*(1-2!$F$17*2)*-$H36</f>
        <v>0</v>
      </c>
      <c r="Z36" s="471">
        <f>(Z29-Z22)*(1-2!$F$17*2)*-$H36</f>
        <v>0</v>
      </c>
      <c r="AA36" s="471">
        <f>(AA29-AA22)*(1-2!$F$17*2)*-$H36</f>
        <v>0</v>
      </c>
    </row>
    <row r="37" spans="3:27" ht="25.5">
      <c r="C37" s="415" t="s">
        <v>55</v>
      </c>
      <c r="D37" s="293">
        <v>5247</v>
      </c>
      <c r="G37">
        <v>3</v>
      </c>
      <c r="H37" s="293">
        <f>D37*G37</f>
        <v>15741</v>
      </c>
      <c r="K37" s="471"/>
      <c r="L37" s="471">
        <f>(L30-L23)*(1-2!$F$17*2)*-$H37</f>
        <v>0</v>
      </c>
      <c r="M37" s="471">
        <f>(M30-M23)*(1-2!$F$17*2)*-$H37</f>
        <v>0</v>
      </c>
      <c r="N37" s="471">
        <f>(N30-N23)*(1-2!$F$17*2)*-$H37</f>
        <v>0</v>
      </c>
      <c r="O37" s="471">
        <f>(O30-O23)*(1-2!$F$17*2)*-$H37</f>
        <v>0</v>
      </c>
      <c r="P37" s="471">
        <f>(P30-P23)*(1-2!$F$17*2)*-$H37</f>
        <v>0</v>
      </c>
      <c r="Q37" s="471">
        <f>(Q30-Q23)*(1-2!$F$17*2)*-$H37</f>
        <v>0</v>
      </c>
      <c r="R37" s="471">
        <f>(R30-R23)*(1-2!$F$17*2)*-$H37</f>
        <v>0</v>
      </c>
      <c r="S37" s="471">
        <f>(S30-S23)*(1-2!$F$17*2)*-$H37</f>
        <v>0</v>
      </c>
      <c r="T37" s="471">
        <f>(T30-T23)*(1-2!$F$17*2)*-$H37</f>
        <v>0</v>
      </c>
      <c r="U37" s="471">
        <f>(U30-U23)*(1-2!$F$17*2)*-$H37</f>
        <v>0</v>
      </c>
      <c r="V37" s="471">
        <f>(V30-V23)*(1-2!$F$17*2)*-$H37</f>
        <v>0</v>
      </c>
      <c r="W37" s="471">
        <f>(W30-W23)*(1-2!$F$17*2)*-$H37</f>
        <v>0</v>
      </c>
      <c r="X37" s="471">
        <f>(X30-X23)*(1-2!$F$17*2)*-$H37</f>
        <v>0</v>
      </c>
      <c r="Y37" s="471">
        <f>(Y30-Y23)*(1-2!$F$17*2)*-$H37</f>
        <v>0</v>
      </c>
      <c r="Z37" s="471">
        <f>(Z30-Z23)*(1-2!$F$17*2)*-$H37</f>
        <v>0</v>
      </c>
      <c r="AA37" s="471">
        <f>(AA30-AA23)*(1-2!$F$17*2)*-$H37</f>
        <v>0</v>
      </c>
    </row>
    <row r="38" spans="3:27" ht="25.5">
      <c r="C38" s="415" t="s">
        <v>56</v>
      </c>
      <c r="D38" s="293">
        <v>3432</v>
      </c>
      <c r="G38">
        <v>3</v>
      </c>
      <c r="H38" s="293">
        <f>D38*G38</f>
        <v>10296</v>
      </c>
      <c r="K38" s="471"/>
      <c r="L38" s="471">
        <f>(L31-L24)*(1-2!$F$17*2)*-$H38</f>
        <v>0</v>
      </c>
      <c r="M38" s="471">
        <f>(M31-M24)*(1-2!$F$17*2)*-$H38</f>
        <v>0</v>
      </c>
      <c r="N38" s="471">
        <f>(N31-N24)*(1-2!$F$17*2)*-$H38</f>
        <v>0</v>
      </c>
      <c r="O38" s="471">
        <f>(O31-O24)*(1-2!$F$17*2)*-$H38</f>
        <v>0</v>
      </c>
      <c r="P38" s="471">
        <f>(P31-P24)*(1-2!$F$17*2)*-$H38</f>
        <v>0</v>
      </c>
      <c r="Q38" s="471">
        <f>(Q31-Q24)*(1-2!$F$17*2)*-$H38</f>
        <v>0</v>
      </c>
      <c r="R38" s="471">
        <f>(R31-R24)*(1-2!$F$17*2)*-$H38</f>
        <v>0</v>
      </c>
      <c r="S38" s="471">
        <f>(S31-S24)*(1-2!$F$17*2)*-$H38</f>
        <v>0</v>
      </c>
      <c r="T38" s="471">
        <f>(T31-T24)*(1-2!$F$17*2)*-$H38</f>
        <v>0</v>
      </c>
      <c r="U38" s="471">
        <f>(U31-U24)*(1-2!$F$17*2)*-$H38</f>
        <v>0</v>
      </c>
      <c r="V38" s="471">
        <f>(V31-V24)*(1-2!$F$17*2)*-$H38</f>
        <v>0</v>
      </c>
      <c r="W38" s="471">
        <f>(W31-W24)*(1-2!$F$17*2)*-$H38</f>
        <v>0</v>
      </c>
      <c r="X38" s="471">
        <f>(X31-X24)*(1-2!$F$17*2)*-$H38</f>
        <v>0</v>
      </c>
      <c r="Y38" s="471">
        <f>(Y31-Y24)*(1-2!$F$17*2)*-$H38</f>
        <v>0</v>
      </c>
      <c r="Z38" s="471">
        <f>(Z31-Z24)*(1-2!$F$17*2)*-$H38</f>
        <v>0</v>
      </c>
      <c r="AA38" s="471">
        <f>(AA31-AA24)*(1-2!$F$17*2)*-$H38</f>
        <v>0</v>
      </c>
    </row>
    <row r="39" spans="3:27" ht="25.5">
      <c r="C39" s="415" t="s">
        <v>672</v>
      </c>
      <c r="D39" s="293">
        <v>2015</v>
      </c>
      <c r="G39">
        <v>3</v>
      </c>
      <c r="H39" s="293">
        <f>D39*G39</f>
        <v>6045</v>
      </c>
      <c r="K39" s="471"/>
      <c r="L39" s="471">
        <f>(L32-L25)*(1-2!$F$17*2)*-$H39</f>
        <v>0</v>
      </c>
      <c r="M39" s="471">
        <f>(M32-M25)*(1-2!$F$17*2)*-$H39</f>
        <v>0</v>
      </c>
      <c r="N39" s="471">
        <f>(N32-N25)*(1-2!$F$17*2)*-$H39</f>
        <v>0</v>
      </c>
      <c r="O39" s="471">
        <f>(O32-O25)*(1-2!$F$17*2)*-$H39</f>
        <v>0</v>
      </c>
      <c r="P39" s="471">
        <f>(P32-P25)*(1-2!$F$17*2)*-$H39</f>
        <v>0</v>
      </c>
      <c r="Q39" s="471">
        <f>(Q32-Q25)*(1-2!$F$17*2)*-$H39</f>
        <v>0</v>
      </c>
      <c r="R39" s="471">
        <f>(R32-R25)*(1-2!$F$17*2)*-$H39</f>
        <v>0</v>
      </c>
      <c r="S39" s="471">
        <f>(S32-S25)*(1-2!$F$17*2)*-$H39</f>
        <v>0</v>
      </c>
      <c r="T39" s="471">
        <f>(T32-T25)*(1-2!$F$17*2)*-$H39</f>
        <v>0</v>
      </c>
      <c r="U39" s="471">
        <f>(U32-U25)*(1-2!$F$17*2)*-$H39</f>
        <v>0</v>
      </c>
      <c r="V39" s="471">
        <f>(V32-V25)*(1-2!$F$17*2)*-$H39</f>
        <v>0</v>
      </c>
      <c r="W39" s="471">
        <f>(W32-W25)*(1-2!$F$17*2)*-$H39</f>
        <v>0</v>
      </c>
      <c r="X39" s="471">
        <f>(X32-X25)*(1-2!$F$17*2)*-$H39</f>
        <v>0</v>
      </c>
      <c r="Y39" s="471">
        <f>(Y32-Y25)*(1-2!$F$17*2)*-$H39</f>
        <v>0</v>
      </c>
      <c r="Z39" s="471">
        <f>(Z32-Z25)*(1-2!$F$17*2)*-$H39</f>
        <v>0</v>
      </c>
      <c r="AA39" s="471">
        <f>(AA32-AA25)*(1-2!$F$17*2)*-$H39</f>
        <v>0</v>
      </c>
    </row>
    <row r="40" spans="3:27" ht="15">
      <c r="C40" s="493" t="s">
        <v>21</v>
      </c>
      <c r="D40" s="493"/>
      <c r="E40" s="493"/>
      <c r="F40" s="493"/>
      <c r="G40" s="493"/>
      <c r="H40" s="493"/>
      <c r="I40" s="493"/>
      <c r="J40" s="493"/>
      <c r="K40" s="494"/>
      <c r="L40" s="494">
        <f aca="true" t="shared" si="5" ref="L40:Z40">SUM(L36:L39)</f>
        <v>0</v>
      </c>
      <c r="M40" s="494">
        <f t="shared" si="5"/>
        <v>0</v>
      </c>
      <c r="N40" s="494">
        <f t="shared" si="5"/>
        <v>0</v>
      </c>
      <c r="O40" s="494">
        <f t="shared" si="5"/>
        <v>0</v>
      </c>
      <c r="P40" s="494">
        <f t="shared" si="5"/>
        <v>0</v>
      </c>
      <c r="Q40" s="494">
        <f t="shared" si="5"/>
        <v>0</v>
      </c>
      <c r="R40" s="494">
        <f t="shared" si="5"/>
        <v>0</v>
      </c>
      <c r="S40" s="494">
        <f t="shared" si="5"/>
        <v>0</v>
      </c>
      <c r="T40" s="494">
        <f t="shared" si="5"/>
        <v>0</v>
      </c>
      <c r="U40" s="494">
        <f t="shared" si="5"/>
        <v>0</v>
      </c>
      <c r="V40" s="494">
        <f t="shared" si="5"/>
        <v>0</v>
      </c>
      <c r="W40" s="494">
        <f t="shared" si="5"/>
        <v>0</v>
      </c>
      <c r="X40" s="494">
        <f t="shared" si="5"/>
        <v>0</v>
      </c>
      <c r="Y40" s="494">
        <f t="shared" si="5"/>
        <v>0</v>
      </c>
      <c r="Z40" s="494">
        <f t="shared" si="5"/>
        <v>0</v>
      </c>
      <c r="AA40" s="494">
        <f>SUM(AA36:AA39)</f>
        <v>0</v>
      </c>
    </row>
  </sheetData>
  <sheetProtection/>
  <mergeCells count="5">
    <mergeCell ref="H5:K5"/>
    <mergeCell ref="H10:K10"/>
    <mergeCell ref="H15:K15"/>
    <mergeCell ref="H21:K21"/>
    <mergeCell ref="H28:K28"/>
  </mergeCells>
  <hyperlinks>
    <hyperlink ref="C35" r:id="rId1" display="http://www.izm.gov.lv/images/izglitiba_augst/5_pielik_koefic.893.pdf"/>
  </hyperlinks>
  <printOptions/>
  <pageMargins left="0.7" right="0.7" top="0.75" bottom="0.75" header="0.3" footer="0.3"/>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tabColor rgb="FFC0C0C0"/>
  </sheetPr>
  <dimension ref="A1:AC130"/>
  <sheetViews>
    <sheetView zoomScale="85" zoomScaleNormal="85" zoomScalePageLayoutView="0" workbookViewId="0" topLeftCell="A39">
      <selection activeCell="Z25" sqref="Z25"/>
    </sheetView>
  </sheetViews>
  <sheetFormatPr defaultColWidth="9.00390625" defaultRowHeight="15.75" outlineLevelRow="1"/>
  <cols>
    <col min="1" max="1" width="11.125" style="75" customWidth="1"/>
    <col min="2" max="2" width="17.50390625" style="75" customWidth="1"/>
    <col min="3" max="3" width="10.125" style="75" bestFit="1" customWidth="1"/>
    <col min="4" max="4" width="7.875" style="75" bestFit="1" customWidth="1"/>
    <col min="5" max="11" width="7.50390625" style="75" bestFit="1" customWidth="1"/>
    <col min="12" max="12" width="7.875" style="75" bestFit="1" customWidth="1"/>
    <col min="13" max="15" width="7.50390625" style="75" bestFit="1" customWidth="1"/>
    <col min="16" max="24" width="0" style="75" hidden="1" customWidth="1"/>
    <col min="25" max="25" width="3.875" style="75" customWidth="1"/>
    <col min="26" max="16384" width="9.00390625" style="75" customWidth="1"/>
  </cols>
  <sheetData>
    <row r="1" spans="1:15" ht="15">
      <c r="A1" s="289" t="s">
        <v>73</v>
      </c>
      <c r="B1" s="96"/>
      <c r="C1" s="96"/>
      <c r="D1" s="96"/>
      <c r="E1" s="96"/>
      <c r="F1" s="96"/>
      <c r="G1" s="96"/>
      <c r="H1" s="96"/>
      <c r="I1" s="96"/>
      <c r="J1" s="96"/>
      <c r="K1" s="313" t="s">
        <v>149</v>
      </c>
      <c r="L1" s="75" t="s">
        <v>20</v>
      </c>
      <c r="M1" s="96"/>
      <c r="N1" s="96"/>
      <c r="O1" s="96"/>
    </row>
    <row r="2" ht="12.75" customHeight="1" hidden="1"/>
    <row r="3" spans="1:15" ht="15" customHeight="1" hidden="1">
      <c r="A3" s="547" t="s">
        <v>74</v>
      </c>
      <c r="B3" s="548"/>
      <c r="C3" s="93" t="s">
        <v>21</v>
      </c>
      <c r="D3" s="341" t="s">
        <v>75</v>
      </c>
      <c r="E3" s="341" t="s">
        <v>76</v>
      </c>
      <c r="F3" s="341" t="s">
        <v>77</v>
      </c>
      <c r="G3" s="341" t="s">
        <v>78</v>
      </c>
      <c r="H3" s="341" t="s">
        <v>79</v>
      </c>
      <c r="I3" s="341" t="s">
        <v>80</v>
      </c>
      <c r="J3" s="341" t="s">
        <v>81</v>
      </c>
      <c r="K3" s="341" t="s">
        <v>82</v>
      </c>
      <c r="L3" s="341" t="s">
        <v>83</v>
      </c>
      <c r="M3" s="120" t="s">
        <v>84</v>
      </c>
      <c r="N3" s="120" t="s">
        <v>85</v>
      </c>
      <c r="O3" s="134" t="s">
        <v>86</v>
      </c>
    </row>
    <row r="4" spans="1:15" ht="12.75" outlineLevel="1">
      <c r="A4" s="82">
        <v>41</v>
      </c>
      <c r="B4" s="82" t="s">
        <v>87</v>
      </c>
      <c r="C4" s="90">
        <f>SUM(D4:O4)</f>
        <v>14673</v>
      </c>
      <c r="D4" s="342">
        <v>1507</v>
      </c>
      <c r="E4" s="342">
        <v>1523</v>
      </c>
      <c r="F4" s="342">
        <v>1501</v>
      </c>
      <c r="G4" s="342">
        <v>1385</v>
      </c>
      <c r="H4" s="342">
        <v>1342</v>
      </c>
      <c r="I4" s="342">
        <v>1418</v>
      </c>
      <c r="J4" s="342">
        <v>1428</v>
      </c>
      <c r="K4" s="342">
        <v>1423</v>
      </c>
      <c r="L4" s="342">
        <v>1580</v>
      </c>
      <c r="M4" s="135">
        <v>570</v>
      </c>
      <c r="N4" s="135">
        <v>461</v>
      </c>
      <c r="O4" s="135">
        <v>535</v>
      </c>
    </row>
    <row r="5" spans="1:15" ht="12.75" outlineLevel="1">
      <c r="A5" s="83">
        <v>42</v>
      </c>
      <c r="B5" s="83" t="s">
        <v>88</v>
      </c>
      <c r="C5" s="91">
        <f aca="true" t="shared" si="0" ref="C5:C23">SUM(D5:O5)</f>
        <v>15135</v>
      </c>
      <c r="D5" s="343">
        <v>1356</v>
      </c>
      <c r="E5" s="343">
        <v>1345</v>
      </c>
      <c r="F5" s="343">
        <v>1285</v>
      </c>
      <c r="G5" s="343">
        <v>1333</v>
      </c>
      <c r="H5" s="343">
        <v>1297</v>
      </c>
      <c r="I5" s="343">
        <v>1446</v>
      </c>
      <c r="J5" s="343">
        <v>1458</v>
      </c>
      <c r="K5" s="343">
        <v>1510</v>
      </c>
      <c r="L5" s="343">
        <v>1692</v>
      </c>
      <c r="M5" s="136">
        <v>854</v>
      </c>
      <c r="N5" s="136">
        <v>812</v>
      </c>
      <c r="O5" s="136">
        <v>747</v>
      </c>
    </row>
    <row r="6" spans="1:15" ht="12.75" outlineLevel="1">
      <c r="A6" s="83">
        <v>43</v>
      </c>
      <c r="B6" s="83" t="s">
        <v>89</v>
      </c>
      <c r="C6" s="91">
        <f t="shared" si="0"/>
        <v>31056</v>
      </c>
      <c r="D6" s="343">
        <v>3925</v>
      </c>
      <c r="E6" s="343">
        <v>3727</v>
      </c>
      <c r="F6" s="343">
        <v>3409</v>
      </c>
      <c r="G6" s="343">
        <v>3206</v>
      </c>
      <c r="H6" s="343">
        <v>3034</v>
      </c>
      <c r="I6" s="343">
        <v>2886</v>
      </c>
      <c r="J6" s="343">
        <v>2731</v>
      </c>
      <c r="K6" s="343">
        <v>2579</v>
      </c>
      <c r="L6" s="343">
        <v>2542</v>
      </c>
      <c r="M6" s="136">
        <v>1093</v>
      </c>
      <c r="N6" s="136">
        <v>948</v>
      </c>
      <c r="O6" s="136">
        <v>976</v>
      </c>
    </row>
    <row r="7" spans="1:15" ht="12.75" outlineLevel="1">
      <c r="A7" s="83">
        <v>44</v>
      </c>
      <c r="B7" s="83" t="s">
        <v>90</v>
      </c>
      <c r="C7" s="91">
        <f t="shared" si="0"/>
        <v>16951</v>
      </c>
      <c r="D7" s="343">
        <v>1742</v>
      </c>
      <c r="E7" s="343">
        <v>1698</v>
      </c>
      <c r="F7" s="343">
        <v>1581</v>
      </c>
      <c r="G7" s="343">
        <v>1608</v>
      </c>
      <c r="H7" s="343">
        <v>1585</v>
      </c>
      <c r="I7" s="343">
        <v>1628</v>
      </c>
      <c r="J7" s="343">
        <v>1643</v>
      </c>
      <c r="K7" s="343">
        <v>1642</v>
      </c>
      <c r="L7" s="343">
        <v>1719</v>
      </c>
      <c r="M7" s="136">
        <v>720</v>
      </c>
      <c r="N7" s="136">
        <v>653</v>
      </c>
      <c r="O7" s="136">
        <v>732</v>
      </c>
    </row>
    <row r="8" spans="1:15" ht="12.75" outlineLevel="1">
      <c r="A8" s="83">
        <v>45</v>
      </c>
      <c r="B8" s="83" t="s">
        <v>91</v>
      </c>
      <c r="C8" s="91">
        <f t="shared" si="0"/>
        <v>15853</v>
      </c>
      <c r="D8" s="343">
        <v>1687</v>
      </c>
      <c r="E8" s="343">
        <v>1629</v>
      </c>
      <c r="F8" s="343">
        <v>1609</v>
      </c>
      <c r="G8" s="343">
        <v>1594</v>
      </c>
      <c r="H8" s="343">
        <v>1511</v>
      </c>
      <c r="I8" s="343">
        <v>1581</v>
      </c>
      <c r="J8" s="343">
        <v>1540</v>
      </c>
      <c r="K8" s="343">
        <v>1453</v>
      </c>
      <c r="L8" s="343">
        <v>1483</v>
      </c>
      <c r="M8" s="136">
        <v>664</v>
      </c>
      <c r="N8" s="136">
        <v>549</v>
      </c>
      <c r="O8" s="136">
        <v>553</v>
      </c>
    </row>
    <row r="9" spans="1:15" ht="12.75" outlineLevel="1">
      <c r="A9" s="83" t="s">
        <v>92</v>
      </c>
      <c r="B9" s="83" t="s">
        <v>93</v>
      </c>
      <c r="C9" s="91">
        <f t="shared" si="0"/>
        <v>2456</v>
      </c>
      <c r="D9" s="343">
        <v>261</v>
      </c>
      <c r="E9" s="343">
        <v>241</v>
      </c>
      <c r="F9" s="343">
        <v>254</v>
      </c>
      <c r="G9" s="343">
        <v>209</v>
      </c>
      <c r="H9" s="343">
        <v>208</v>
      </c>
      <c r="I9" s="343">
        <v>222</v>
      </c>
      <c r="J9" s="343">
        <v>205</v>
      </c>
      <c r="K9" s="343">
        <v>184</v>
      </c>
      <c r="L9" s="343">
        <v>226</v>
      </c>
      <c r="M9" s="136">
        <v>163</v>
      </c>
      <c r="N9" s="136">
        <v>147</v>
      </c>
      <c r="O9" s="136">
        <v>136</v>
      </c>
    </row>
    <row r="10" spans="1:15" ht="12.75" outlineLevel="1">
      <c r="A10" s="83" t="s">
        <v>94</v>
      </c>
      <c r="B10" s="83" t="s">
        <v>95</v>
      </c>
      <c r="C10" s="91">
        <f t="shared" si="0"/>
        <v>3746</v>
      </c>
      <c r="D10" s="343">
        <v>382</v>
      </c>
      <c r="E10" s="343">
        <v>363</v>
      </c>
      <c r="F10" s="343">
        <v>338</v>
      </c>
      <c r="G10" s="343">
        <v>330</v>
      </c>
      <c r="H10" s="343">
        <v>281</v>
      </c>
      <c r="I10" s="343">
        <v>303</v>
      </c>
      <c r="J10" s="343">
        <v>265</v>
      </c>
      <c r="K10" s="343">
        <v>273</v>
      </c>
      <c r="L10" s="343">
        <v>296</v>
      </c>
      <c r="M10" s="136">
        <v>347</v>
      </c>
      <c r="N10" s="136">
        <v>256</v>
      </c>
      <c r="O10" s="136">
        <v>312</v>
      </c>
    </row>
    <row r="11" spans="1:15" ht="12.75" outlineLevel="1">
      <c r="A11" s="83" t="s">
        <v>96</v>
      </c>
      <c r="B11" s="83" t="s">
        <v>97</v>
      </c>
      <c r="C11" s="91">
        <f t="shared" si="0"/>
        <v>8735</v>
      </c>
      <c r="D11" s="343">
        <v>971</v>
      </c>
      <c r="E11" s="343">
        <v>907</v>
      </c>
      <c r="F11" s="343">
        <v>854</v>
      </c>
      <c r="G11" s="343">
        <v>772</v>
      </c>
      <c r="H11" s="343">
        <v>725</v>
      </c>
      <c r="I11" s="343">
        <v>803</v>
      </c>
      <c r="J11" s="343">
        <v>763</v>
      </c>
      <c r="K11" s="343">
        <v>763</v>
      </c>
      <c r="L11" s="343">
        <v>765</v>
      </c>
      <c r="M11" s="136">
        <v>518</v>
      </c>
      <c r="N11" s="136">
        <v>455</v>
      </c>
      <c r="O11" s="136">
        <v>439</v>
      </c>
    </row>
    <row r="12" spans="1:15" ht="12.75" outlineLevel="1">
      <c r="A12" s="83" t="s">
        <v>98</v>
      </c>
      <c r="B12" s="83" t="s">
        <v>99</v>
      </c>
      <c r="C12" s="91">
        <f t="shared" si="0"/>
        <v>6655</v>
      </c>
      <c r="D12" s="343">
        <v>787</v>
      </c>
      <c r="E12" s="343">
        <v>726</v>
      </c>
      <c r="F12" s="343">
        <v>616</v>
      </c>
      <c r="G12" s="343">
        <v>647</v>
      </c>
      <c r="H12" s="343">
        <v>636</v>
      </c>
      <c r="I12" s="343">
        <v>609</v>
      </c>
      <c r="J12" s="343">
        <v>592</v>
      </c>
      <c r="K12" s="343">
        <v>534</v>
      </c>
      <c r="L12" s="343">
        <v>527</v>
      </c>
      <c r="M12" s="136">
        <v>364</v>
      </c>
      <c r="N12" s="136">
        <v>275</v>
      </c>
      <c r="O12" s="136">
        <v>342</v>
      </c>
    </row>
    <row r="13" spans="1:15" ht="12.75" outlineLevel="1">
      <c r="A13" s="83" t="s">
        <v>100</v>
      </c>
      <c r="B13" s="83" t="s">
        <v>101</v>
      </c>
      <c r="C13" s="91">
        <f t="shared" si="0"/>
        <v>4521</v>
      </c>
      <c r="D13" s="343">
        <v>510</v>
      </c>
      <c r="E13" s="343">
        <v>497</v>
      </c>
      <c r="F13" s="343">
        <v>488</v>
      </c>
      <c r="G13" s="343">
        <v>450</v>
      </c>
      <c r="H13" s="343">
        <v>456</v>
      </c>
      <c r="I13" s="343">
        <v>431</v>
      </c>
      <c r="J13" s="343">
        <v>356</v>
      </c>
      <c r="K13" s="343">
        <v>376</v>
      </c>
      <c r="L13" s="343">
        <v>361</v>
      </c>
      <c r="M13" s="136">
        <v>205</v>
      </c>
      <c r="N13" s="136">
        <v>190</v>
      </c>
      <c r="O13" s="136">
        <v>201</v>
      </c>
    </row>
    <row r="14" spans="1:15" ht="12.75" outlineLevel="1">
      <c r="A14" s="83" t="s">
        <v>102</v>
      </c>
      <c r="B14" s="83" t="s">
        <v>103</v>
      </c>
      <c r="C14" s="91">
        <f t="shared" si="0"/>
        <v>8288</v>
      </c>
      <c r="D14" s="343">
        <v>873</v>
      </c>
      <c r="E14" s="343">
        <v>789</v>
      </c>
      <c r="F14" s="343">
        <v>831</v>
      </c>
      <c r="G14" s="343">
        <v>871</v>
      </c>
      <c r="H14" s="343">
        <v>788</v>
      </c>
      <c r="I14" s="343">
        <v>759</v>
      </c>
      <c r="J14" s="343">
        <v>813</v>
      </c>
      <c r="K14" s="343">
        <v>672</v>
      </c>
      <c r="L14" s="343">
        <v>780</v>
      </c>
      <c r="M14" s="136">
        <v>448</v>
      </c>
      <c r="N14" s="136">
        <v>339</v>
      </c>
      <c r="O14" s="136">
        <v>325</v>
      </c>
    </row>
    <row r="15" spans="1:15" ht="12.75" outlineLevel="1">
      <c r="A15" s="83" t="s">
        <v>104</v>
      </c>
      <c r="B15" s="83" t="s">
        <v>105</v>
      </c>
      <c r="C15" s="91">
        <f t="shared" si="0"/>
        <v>3954</v>
      </c>
      <c r="D15" s="343">
        <v>414</v>
      </c>
      <c r="E15" s="343">
        <v>393</v>
      </c>
      <c r="F15" s="343">
        <v>407</v>
      </c>
      <c r="G15" s="343">
        <v>350</v>
      </c>
      <c r="H15" s="343">
        <v>305</v>
      </c>
      <c r="I15" s="343">
        <v>327</v>
      </c>
      <c r="J15" s="343">
        <v>350</v>
      </c>
      <c r="K15" s="343">
        <v>334</v>
      </c>
      <c r="L15" s="343">
        <v>352</v>
      </c>
      <c r="M15" s="136">
        <v>254</v>
      </c>
      <c r="N15" s="136">
        <v>231</v>
      </c>
      <c r="O15" s="136">
        <v>237</v>
      </c>
    </row>
    <row r="16" spans="1:15" ht="12.75" outlineLevel="1">
      <c r="A16" s="83" t="s">
        <v>106</v>
      </c>
      <c r="B16" s="83" t="s">
        <v>107</v>
      </c>
      <c r="C16" s="91">
        <f t="shared" si="0"/>
        <v>3993</v>
      </c>
      <c r="D16" s="343">
        <v>453</v>
      </c>
      <c r="E16" s="343">
        <v>412</v>
      </c>
      <c r="F16" s="343">
        <v>368</v>
      </c>
      <c r="G16" s="343">
        <v>359</v>
      </c>
      <c r="H16" s="343">
        <v>378</v>
      </c>
      <c r="I16" s="343">
        <v>337</v>
      </c>
      <c r="J16" s="343">
        <v>337</v>
      </c>
      <c r="K16" s="343">
        <v>359</v>
      </c>
      <c r="L16" s="343">
        <v>339</v>
      </c>
      <c r="M16" s="136">
        <v>237</v>
      </c>
      <c r="N16" s="136">
        <v>203</v>
      </c>
      <c r="O16" s="136">
        <v>211</v>
      </c>
    </row>
    <row r="17" spans="1:15" ht="12.75" outlineLevel="1">
      <c r="A17" s="84"/>
      <c r="B17" s="84" t="s">
        <v>108</v>
      </c>
      <c r="C17" s="95">
        <f t="shared" si="0"/>
        <v>66699</v>
      </c>
      <c r="D17" s="344">
        <f>SUM(D18:D23)</f>
        <v>7394</v>
      </c>
      <c r="E17" s="344">
        <f aca="true" t="shared" si="1" ref="E17:O17">SUM(E18:E23)</f>
        <v>7004</v>
      </c>
      <c r="F17" s="344">
        <f t="shared" si="1"/>
        <v>6583</v>
      </c>
      <c r="G17" s="344">
        <f t="shared" si="1"/>
        <v>6248</v>
      </c>
      <c r="H17" s="344">
        <f t="shared" si="1"/>
        <v>5868</v>
      </c>
      <c r="I17" s="344">
        <f t="shared" si="1"/>
        <v>5944</v>
      </c>
      <c r="J17" s="344">
        <f t="shared" si="1"/>
        <v>5881</v>
      </c>
      <c r="K17" s="344">
        <f t="shared" si="1"/>
        <v>5603</v>
      </c>
      <c r="L17" s="344">
        <f t="shared" si="1"/>
        <v>5551</v>
      </c>
      <c r="M17" s="137">
        <f t="shared" si="1"/>
        <v>3762</v>
      </c>
      <c r="N17" s="137">
        <f t="shared" si="1"/>
        <v>3411</v>
      </c>
      <c r="O17" s="137">
        <f t="shared" si="1"/>
        <v>3450</v>
      </c>
    </row>
    <row r="18" spans="1:15" ht="12.75" outlineLevel="1">
      <c r="A18" s="85" t="s">
        <v>109</v>
      </c>
      <c r="B18" s="85" t="s">
        <v>110</v>
      </c>
      <c r="C18" s="90">
        <f t="shared" si="0"/>
        <v>7073</v>
      </c>
      <c r="D18" s="342">
        <v>643</v>
      </c>
      <c r="E18" s="342">
        <v>590</v>
      </c>
      <c r="F18" s="342">
        <v>537</v>
      </c>
      <c r="G18" s="342">
        <v>598</v>
      </c>
      <c r="H18" s="342">
        <v>519</v>
      </c>
      <c r="I18" s="342">
        <v>487</v>
      </c>
      <c r="J18" s="342">
        <v>621</v>
      </c>
      <c r="K18" s="342">
        <v>637</v>
      </c>
      <c r="L18" s="342">
        <v>697</v>
      </c>
      <c r="M18" s="135">
        <v>584</v>
      </c>
      <c r="N18" s="135">
        <v>573</v>
      </c>
      <c r="O18" s="135">
        <v>587</v>
      </c>
    </row>
    <row r="19" spans="1:15" ht="12.75" outlineLevel="1">
      <c r="A19" s="86" t="s">
        <v>111</v>
      </c>
      <c r="B19" s="86" t="s">
        <v>112</v>
      </c>
      <c r="C19" s="91">
        <f t="shared" si="0"/>
        <v>11487</v>
      </c>
      <c r="D19" s="343">
        <v>1322</v>
      </c>
      <c r="E19" s="343">
        <v>1271</v>
      </c>
      <c r="F19" s="343">
        <v>1191</v>
      </c>
      <c r="G19" s="343">
        <v>1114</v>
      </c>
      <c r="H19" s="343">
        <v>1095</v>
      </c>
      <c r="I19" s="343">
        <v>1117</v>
      </c>
      <c r="J19" s="343">
        <v>1003</v>
      </c>
      <c r="K19" s="343">
        <v>964</v>
      </c>
      <c r="L19" s="343">
        <v>917</v>
      </c>
      <c r="M19" s="136">
        <v>547</v>
      </c>
      <c r="N19" s="136">
        <v>485</v>
      </c>
      <c r="O19" s="136">
        <v>461</v>
      </c>
    </row>
    <row r="20" spans="1:15" ht="25.5" outlineLevel="1">
      <c r="A20" s="86" t="s">
        <v>113</v>
      </c>
      <c r="B20" s="86" t="s">
        <v>114</v>
      </c>
      <c r="C20" s="91">
        <f t="shared" si="0"/>
        <v>15379</v>
      </c>
      <c r="D20" s="343">
        <v>1818</v>
      </c>
      <c r="E20" s="343">
        <v>1690</v>
      </c>
      <c r="F20" s="343">
        <v>1600</v>
      </c>
      <c r="G20" s="343">
        <v>1552</v>
      </c>
      <c r="H20" s="343">
        <v>1413</v>
      </c>
      <c r="I20" s="343">
        <v>1435</v>
      </c>
      <c r="J20" s="343">
        <v>1388</v>
      </c>
      <c r="K20" s="343">
        <v>1328</v>
      </c>
      <c r="L20" s="343">
        <v>1360</v>
      </c>
      <c r="M20" s="136">
        <v>654</v>
      </c>
      <c r="N20" s="136">
        <v>589</v>
      </c>
      <c r="O20" s="136">
        <v>552</v>
      </c>
    </row>
    <row r="21" spans="1:15" ht="25.5" outlineLevel="1">
      <c r="A21" s="86" t="s">
        <v>115</v>
      </c>
      <c r="B21" s="86" t="s">
        <v>116</v>
      </c>
      <c r="C21" s="91">
        <f t="shared" si="0"/>
        <v>16590</v>
      </c>
      <c r="D21" s="343">
        <v>1909</v>
      </c>
      <c r="E21" s="343">
        <v>1836</v>
      </c>
      <c r="F21" s="343">
        <v>1703</v>
      </c>
      <c r="G21" s="343">
        <v>1566</v>
      </c>
      <c r="H21" s="343">
        <v>1555</v>
      </c>
      <c r="I21" s="343">
        <v>1519</v>
      </c>
      <c r="J21" s="343">
        <v>1399</v>
      </c>
      <c r="K21" s="343">
        <v>1301</v>
      </c>
      <c r="L21" s="343">
        <v>1333</v>
      </c>
      <c r="M21" s="136">
        <v>855</v>
      </c>
      <c r="N21" s="136">
        <v>787</v>
      </c>
      <c r="O21" s="136">
        <v>827</v>
      </c>
    </row>
    <row r="22" spans="1:15" ht="25.5" outlineLevel="1">
      <c r="A22" s="86" t="s">
        <v>117</v>
      </c>
      <c r="B22" s="86" t="s">
        <v>118</v>
      </c>
      <c r="C22" s="91">
        <f t="shared" si="0"/>
        <v>9093</v>
      </c>
      <c r="D22" s="343">
        <v>999</v>
      </c>
      <c r="E22" s="343">
        <v>922</v>
      </c>
      <c r="F22" s="343">
        <v>932</v>
      </c>
      <c r="G22" s="343">
        <v>820</v>
      </c>
      <c r="H22" s="343">
        <v>786</v>
      </c>
      <c r="I22" s="343">
        <v>790</v>
      </c>
      <c r="J22" s="343">
        <v>824</v>
      </c>
      <c r="K22" s="343">
        <v>788</v>
      </c>
      <c r="L22" s="343">
        <v>672</v>
      </c>
      <c r="M22" s="136">
        <v>563</v>
      </c>
      <c r="N22" s="136">
        <v>489</v>
      </c>
      <c r="O22" s="136">
        <v>508</v>
      </c>
    </row>
    <row r="23" spans="1:15" ht="12.75" outlineLevel="1">
      <c r="A23" s="87" t="s">
        <v>119</v>
      </c>
      <c r="B23" s="87" t="s">
        <v>120</v>
      </c>
      <c r="C23" s="92">
        <f t="shared" si="0"/>
        <v>7077</v>
      </c>
      <c r="D23" s="345">
        <v>703</v>
      </c>
      <c r="E23" s="345">
        <v>695</v>
      </c>
      <c r="F23" s="345">
        <v>620</v>
      </c>
      <c r="G23" s="345">
        <v>598</v>
      </c>
      <c r="H23" s="345">
        <v>500</v>
      </c>
      <c r="I23" s="345">
        <v>596</v>
      </c>
      <c r="J23" s="345">
        <v>646</v>
      </c>
      <c r="K23" s="345">
        <v>585</v>
      </c>
      <c r="L23" s="345">
        <v>572</v>
      </c>
      <c r="M23" s="138">
        <v>559</v>
      </c>
      <c r="N23" s="138">
        <v>488</v>
      </c>
      <c r="O23" s="138">
        <v>515</v>
      </c>
    </row>
    <row r="24" spans="1:15" ht="12.75" customHeight="1">
      <c r="A24" s="88"/>
      <c r="B24" s="89" t="s">
        <v>121</v>
      </c>
      <c r="C24" s="301">
        <f>SUM(C4:C17)</f>
        <v>202715</v>
      </c>
      <c r="D24" s="346">
        <f>SUM(D4:D17)</f>
        <v>22262</v>
      </c>
      <c r="E24" s="346">
        <f aca="true" t="shared" si="2" ref="E24:O24">SUM(E4:E17)</f>
        <v>21254</v>
      </c>
      <c r="F24" s="346">
        <f t="shared" si="2"/>
        <v>20124</v>
      </c>
      <c r="G24" s="346">
        <f t="shared" si="2"/>
        <v>19362</v>
      </c>
      <c r="H24" s="346">
        <f t="shared" si="2"/>
        <v>18414</v>
      </c>
      <c r="I24" s="346">
        <f t="shared" si="2"/>
        <v>18694</v>
      </c>
      <c r="J24" s="346">
        <f t="shared" si="2"/>
        <v>18362</v>
      </c>
      <c r="K24" s="346">
        <f t="shared" si="2"/>
        <v>17705</v>
      </c>
      <c r="L24" s="346">
        <f t="shared" si="2"/>
        <v>18213</v>
      </c>
      <c r="M24" s="139">
        <f t="shared" si="2"/>
        <v>10199</v>
      </c>
      <c r="N24" s="139">
        <f t="shared" si="2"/>
        <v>8930</v>
      </c>
      <c r="O24" s="139">
        <f t="shared" si="2"/>
        <v>9196</v>
      </c>
    </row>
    <row r="25" spans="1:15" ht="12.75" customHeight="1">
      <c r="A25" s="79"/>
      <c r="B25" s="79"/>
      <c r="C25" s="79"/>
      <c r="D25" s="140"/>
      <c r="E25" s="140"/>
      <c r="F25" s="140"/>
      <c r="G25" s="140"/>
      <c r="H25" s="140"/>
      <c r="I25" s="140"/>
      <c r="J25" s="140"/>
      <c r="K25" s="140"/>
      <c r="L25" s="140"/>
      <c r="M25" s="141"/>
      <c r="N25" s="141"/>
      <c r="O25" s="141"/>
    </row>
    <row r="26" spans="1:26" ht="12.75" customHeight="1">
      <c r="A26" s="76"/>
      <c r="B26" s="76" t="s">
        <v>122</v>
      </c>
      <c r="C26" s="301">
        <v>199119</v>
      </c>
      <c r="D26" s="142">
        <v>21751</v>
      </c>
      <c r="E26" s="142">
        <v>20176</v>
      </c>
      <c r="F26" s="142">
        <v>19481</v>
      </c>
      <c r="G26" s="142">
        <v>18496</v>
      </c>
      <c r="H26" s="142">
        <v>18770</v>
      </c>
      <c r="I26" s="142">
        <v>18478</v>
      </c>
      <c r="J26" s="142">
        <v>17949</v>
      </c>
      <c r="K26" s="142">
        <v>18246</v>
      </c>
      <c r="L26" s="199">
        <v>17262</v>
      </c>
      <c r="M26" s="143">
        <v>9578</v>
      </c>
      <c r="N26" s="143">
        <v>9508</v>
      </c>
      <c r="O26" s="300">
        <v>9424</v>
      </c>
      <c r="Z26" s="203"/>
    </row>
    <row r="27" spans="1:15" ht="12.75" customHeight="1">
      <c r="A27" s="76"/>
      <c r="B27" s="76" t="s">
        <v>123</v>
      </c>
      <c r="C27" s="301">
        <v>197863</v>
      </c>
      <c r="D27" s="142">
        <v>20730</v>
      </c>
      <c r="E27" s="142">
        <v>19572</v>
      </c>
      <c r="F27" s="142">
        <v>18696</v>
      </c>
      <c r="G27" s="142">
        <v>18864</v>
      </c>
      <c r="H27" s="142">
        <v>18579</v>
      </c>
      <c r="I27" s="142">
        <v>18141</v>
      </c>
      <c r="J27" s="142">
        <v>18543</v>
      </c>
      <c r="K27" s="199">
        <v>17363</v>
      </c>
      <c r="L27" s="142">
        <v>16898</v>
      </c>
      <c r="M27" s="143">
        <v>10126</v>
      </c>
      <c r="N27" s="300">
        <v>9621</v>
      </c>
      <c r="O27" s="143">
        <v>10730</v>
      </c>
    </row>
    <row r="28" spans="1:15" ht="12.75" customHeight="1">
      <c r="A28" s="94"/>
      <c r="B28" s="76" t="s">
        <v>124</v>
      </c>
      <c r="C28" s="301">
        <v>200706</v>
      </c>
      <c r="D28" s="142">
        <v>20168</v>
      </c>
      <c r="E28" s="142">
        <v>18876</v>
      </c>
      <c r="F28" s="142">
        <v>19120</v>
      </c>
      <c r="G28" s="142">
        <v>18757</v>
      </c>
      <c r="H28" s="142">
        <v>18293</v>
      </c>
      <c r="I28" s="142">
        <v>18820</v>
      </c>
      <c r="J28" s="199">
        <v>17644</v>
      </c>
      <c r="K28" s="142">
        <v>17015</v>
      </c>
      <c r="L28" s="142">
        <v>18687</v>
      </c>
      <c r="M28" s="300">
        <v>10409</v>
      </c>
      <c r="N28" s="143">
        <v>10976</v>
      </c>
      <c r="O28" s="143">
        <v>11941</v>
      </c>
    </row>
    <row r="29" spans="1:15" ht="12.75" customHeight="1">
      <c r="A29" s="94"/>
      <c r="B29" s="76" t="s">
        <v>125</v>
      </c>
      <c r="C29" s="301">
        <v>206440</v>
      </c>
      <c r="D29" s="142">
        <v>19493</v>
      </c>
      <c r="E29" s="142">
        <v>19401</v>
      </c>
      <c r="F29" s="142">
        <v>19063</v>
      </c>
      <c r="G29" s="142">
        <v>18518</v>
      </c>
      <c r="H29" s="142">
        <v>18981</v>
      </c>
      <c r="I29" s="199">
        <v>17954</v>
      </c>
      <c r="J29" s="142">
        <v>17397</v>
      </c>
      <c r="K29" s="142">
        <v>18010</v>
      </c>
      <c r="L29" s="142">
        <v>19621</v>
      </c>
      <c r="M29" s="143">
        <v>11748</v>
      </c>
      <c r="N29" s="143">
        <v>12277</v>
      </c>
      <c r="O29" s="143">
        <v>13977</v>
      </c>
    </row>
    <row r="30" spans="1:15" ht="12.75" customHeight="1">
      <c r="A30" s="94"/>
      <c r="B30" s="77" t="s">
        <v>126</v>
      </c>
      <c r="C30" s="301">
        <v>216307</v>
      </c>
      <c r="D30" s="142">
        <v>20273</v>
      </c>
      <c r="E30" s="142">
        <v>19410</v>
      </c>
      <c r="F30" s="142">
        <v>18834</v>
      </c>
      <c r="G30" s="142">
        <v>19299</v>
      </c>
      <c r="H30" s="199">
        <v>18249</v>
      </c>
      <c r="I30" s="142">
        <v>17603</v>
      </c>
      <c r="J30" s="142">
        <v>18433</v>
      </c>
      <c r="K30" s="142">
        <v>19099</v>
      </c>
      <c r="L30" s="142">
        <v>22012</v>
      </c>
      <c r="M30" s="143">
        <v>13134</v>
      </c>
      <c r="N30" s="143">
        <v>14456</v>
      </c>
      <c r="O30" s="143">
        <v>15505</v>
      </c>
    </row>
    <row r="31" spans="1:15" ht="12.75" customHeight="1">
      <c r="A31" s="80"/>
      <c r="B31" s="77" t="s">
        <v>127</v>
      </c>
      <c r="C31" s="301">
        <v>226034</v>
      </c>
      <c r="D31" s="144">
        <v>20170</v>
      </c>
      <c r="E31" s="144">
        <v>19143</v>
      </c>
      <c r="F31" s="144">
        <v>19542</v>
      </c>
      <c r="G31" s="200">
        <v>18446</v>
      </c>
      <c r="H31" s="144">
        <v>17737</v>
      </c>
      <c r="I31" s="144">
        <v>18653</v>
      </c>
      <c r="J31" s="144">
        <v>19534</v>
      </c>
      <c r="K31" s="144">
        <v>21429</v>
      </c>
      <c r="L31" s="144">
        <v>22811</v>
      </c>
      <c r="M31" s="145">
        <v>16042</v>
      </c>
      <c r="N31" s="145">
        <v>16215</v>
      </c>
      <c r="O31" s="145">
        <v>16312</v>
      </c>
    </row>
    <row r="32" spans="1:15" ht="12.75" customHeight="1">
      <c r="A32" s="80"/>
      <c r="B32" s="77" t="s">
        <v>128</v>
      </c>
      <c r="C32" s="301">
        <v>236223</v>
      </c>
      <c r="D32" s="144">
        <v>19821</v>
      </c>
      <c r="E32" s="144">
        <v>19719</v>
      </c>
      <c r="F32" s="200">
        <v>18585</v>
      </c>
      <c r="G32" s="144">
        <v>17812</v>
      </c>
      <c r="H32" s="144">
        <v>18621</v>
      </c>
      <c r="I32" s="144">
        <v>19678</v>
      </c>
      <c r="J32" s="144">
        <v>21807</v>
      </c>
      <c r="K32" s="144">
        <v>23484</v>
      </c>
      <c r="L32" s="144">
        <v>25505</v>
      </c>
      <c r="M32" s="145">
        <v>17041</v>
      </c>
      <c r="N32" s="145">
        <v>16536</v>
      </c>
      <c r="O32" s="145">
        <v>17614</v>
      </c>
    </row>
    <row r="33" spans="1:15" ht="12.75" customHeight="1">
      <c r="A33" s="80"/>
      <c r="B33" s="77" t="s">
        <v>129</v>
      </c>
      <c r="C33" s="301">
        <v>250941</v>
      </c>
      <c r="D33" s="144">
        <v>20472</v>
      </c>
      <c r="E33" s="200">
        <v>18684</v>
      </c>
      <c r="F33" s="144">
        <v>17885</v>
      </c>
      <c r="G33" s="144">
        <v>18571</v>
      </c>
      <c r="H33" s="144">
        <v>19533</v>
      </c>
      <c r="I33" s="144">
        <v>21939</v>
      </c>
      <c r="J33" s="144">
        <v>23933</v>
      </c>
      <c r="K33" s="144">
        <v>26847</v>
      </c>
      <c r="L33" s="144">
        <v>28895</v>
      </c>
      <c r="M33" s="145">
        <v>17745</v>
      </c>
      <c r="N33" s="145">
        <v>18187</v>
      </c>
      <c r="O33" s="145">
        <v>18250</v>
      </c>
    </row>
    <row r="34" spans="1:15" ht="12.75" customHeight="1">
      <c r="A34" s="80"/>
      <c r="B34" s="77" t="s">
        <v>130</v>
      </c>
      <c r="C34" s="301">
        <v>266111</v>
      </c>
      <c r="D34" s="200">
        <v>19597</v>
      </c>
      <c r="E34" s="144">
        <v>18005</v>
      </c>
      <c r="F34" s="144">
        <v>18640</v>
      </c>
      <c r="G34" s="144">
        <v>19448</v>
      </c>
      <c r="H34" s="144">
        <v>21637</v>
      </c>
      <c r="I34" s="144">
        <v>23959</v>
      </c>
      <c r="J34" s="144">
        <v>27039</v>
      </c>
      <c r="K34" s="144">
        <v>30540</v>
      </c>
      <c r="L34" s="144">
        <v>30520</v>
      </c>
      <c r="M34" s="145">
        <v>19684</v>
      </c>
      <c r="N34" s="145">
        <v>18936</v>
      </c>
      <c r="O34" s="145">
        <v>18106</v>
      </c>
    </row>
    <row r="35" spans="1:15" ht="12.75" customHeight="1">
      <c r="A35" s="80"/>
      <c r="B35" s="77" t="s">
        <v>131</v>
      </c>
      <c r="C35" s="301">
        <v>283947</v>
      </c>
      <c r="D35" s="144">
        <v>18904</v>
      </c>
      <c r="E35" s="144">
        <v>18732</v>
      </c>
      <c r="F35" s="144">
        <v>19551</v>
      </c>
      <c r="G35" s="144">
        <v>21598</v>
      </c>
      <c r="H35" s="144">
        <v>23625</v>
      </c>
      <c r="I35" s="144">
        <v>26918</v>
      </c>
      <c r="J35" s="144">
        <v>30838</v>
      </c>
      <c r="K35" s="144">
        <v>32059</v>
      </c>
      <c r="L35" s="144">
        <v>33382</v>
      </c>
      <c r="M35" s="145">
        <v>20443</v>
      </c>
      <c r="N35" s="145">
        <v>19211</v>
      </c>
      <c r="O35" s="145">
        <v>18686</v>
      </c>
    </row>
    <row r="36" spans="1:15" ht="12.75" customHeight="1">
      <c r="A36" s="80"/>
      <c r="B36" s="77" t="s">
        <v>132</v>
      </c>
      <c r="C36" s="301">
        <v>300667</v>
      </c>
      <c r="D36" s="144">
        <v>19539</v>
      </c>
      <c r="E36" s="144">
        <v>19622</v>
      </c>
      <c r="F36" s="144">
        <v>21487</v>
      </c>
      <c r="G36" s="144">
        <v>23703</v>
      </c>
      <c r="H36" s="144">
        <v>26774</v>
      </c>
      <c r="I36" s="144">
        <v>30661</v>
      </c>
      <c r="J36" s="144">
        <v>32296</v>
      </c>
      <c r="K36" s="144">
        <v>34534</v>
      </c>
      <c r="L36" s="144">
        <v>34350</v>
      </c>
      <c r="M36" s="145">
        <v>20529</v>
      </c>
      <c r="N36" s="145">
        <v>19717</v>
      </c>
      <c r="O36" s="145">
        <v>17455</v>
      </c>
    </row>
    <row r="37" spans="1:15" ht="12.75" customHeight="1">
      <c r="A37" s="80"/>
      <c r="B37" s="77" t="s">
        <v>133</v>
      </c>
      <c r="C37" s="301">
        <v>312489</v>
      </c>
      <c r="D37" s="144">
        <v>20521</v>
      </c>
      <c r="E37" s="144">
        <v>21491</v>
      </c>
      <c r="F37" s="144">
        <v>23694</v>
      </c>
      <c r="G37" s="144">
        <v>26714</v>
      </c>
      <c r="H37" s="144">
        <v>30435</v>
      </c>
      <c r="I37" s="144">
        <v>31995</v>
      </c>
      <c r="J37" s="144">
        <v>34660</v>
      </c>
      <c r="K37" s="144">
        <v>35073</v>
      </c>
      <c r="L37" s="144">
        <v>34219</v>
      </c>
      <c r="M37" s="145">
        <v>21016</v>
      </c>
      <c r="N37" s="145">
        <v>18362</v>
      </c>
      <c r="O37" s="145">
        <v>14309</v>
      </c>
    </row>
    <row r="38" spans="1:15" ht="12.75" customHeight="1">
      <c r="A38" s="80"/>
      <c r="B38" s="77" t="s">
        <v>134</v>
      </c>
      <c r="C38" s="301">
        <v>325503</v>
      </c>
      <c r="D38" s="144">
        <v>22427</v>
      </c>
      <c r="E38" s="144">
        <v>23756</v>
      </c>
      <c r="F38" s="144">
        <v>26682</v>
      </c>
      <c r="G38" s="144">
        <v>30476</v>
      </c>
      <c r="H38" s="144">
        <v>31751</v>
      </c>
      <c r="I38" s="144">
        <v>34612</v>
      </c>
      <c r="J38" s="144">
        <v>35306</v>
      </c>
      <c r="K38" s="144">
        <v>35627</v>
      </c>
      <c r="L38" s="144">
        <v>35516</v>
      </c>
      <c r="M38" s="145">
        <v>19630</v>
      </c>
      <c r="N38" s="145">
        <v>15063</v>
      </c>
      <c r="O38" s="145">
        <v>14657</v>
      </c>
    </row>
    <row r="39" spans="1:15" ht="12.75" customHeight="1">
      <c r="A39" s="80"/>
      <c r="B39" s="77" t="s">
        <v>135</v>
      </c>
      <c r="C39" s="301">
        <v>336941</v>
      </c>
      <c r="D39" s="144">
        <v>24724</v>
      </c>
      <c r="E39" s="144">
        <v>26800</v>
      </c>
      <c r="F39" s="144">
        <v>30528</v>
      </c>
      <c r="G39" s="144">
        <v>31844</v>
      </c>
      <c r="H39" s="144">
        <v>34672</v>
      </c>
      <c r="I39" s="144">
        <v>35502</v>
      </c>
      <c r="J39" s="144">
        <v>35945</v>
      </c>
      <c r="K39" s="144">
        <v>36169</v>
      </c>
      <c r="L39" s="144">
        <v>32690</v>
      </c>
      <c r="M39" s="145">
        <v>16023</v>
      </c>
      <c r="N39" s="145">
        <v>15070</v>
      </c>
      <c r="O39" s="145">
        <v>16974</v>
      </c>
    </row>
    <row r="40" spans="1:15" ht="12.75" customHeight="1">
      <c r="A40" s="80"/>
      <c r="B40" s="77" t="s">
        <v>136</v>
      </c>
      <c r="C40" s="301">
        <v>344822</v>
      </c>
      <c r="D40" s="144">
        <v>28079</v>
      </c>
      <c r="E40" s="144">
        <v>30675</v>
      </c>
      <c r="F40" s="144">
        <v>32061</v>
      </c>
      <c r="G40" s="144">
        <v>34782</v>
      </c>
      <c r="H40" s="144">
        <v>35544</v>
      </c>
      <c r="I40" s="144">
        <v>36183</v>
      </c>
      <c r="J40" s="144">
        <v>36532</v>
      </c>
      <c r="K40" s="144">
        <v>33255</v>
      </c>
      <c r="L40" s="144">
        <v>27496</v>
      </c>
      <c r="M40" s="145">
        <v>15967</v>
      </c>
      <c r="N40" s="146">
        <v>17534</v>
      </c>
      <c r="O40" s="145">
        <v>16714</v>
      </c>
    </row>
    <row r="41" spans="1:15" ht="12.75" customHeight="1">
      <c r="A41" s="80"/>
      <c r="B41" s="77" t="s">
        <v>137</v>
      </c>
      <c r="C41" s="301">
        <v>347052</v>
      </c>
      <c r="D41" s="144">
        <v>32161</v>
      </c>
      <c r="E41" s="144">
        <v>32042</v>
      </c>
      <c r="F41" s="144">
        <v>34941</v>
      </c>
      <c r="G41" s="144">
        <v>35741</v>
      </c>
      <c r="H41" s="144">
        <v>36271</v>
      </c>
      <c r="I41" s="144">
        <v>36742</v>
      </c>
      <c r="J41" s="144">
        <v>33632</v>
      </c>
      <c r="K41" s="144">
        <v>27863</v>
      </c>
      <c r="L41" s="144">
        <v>27309</v>
      </c>
      <c r="M41" s="145">
        <v>18675</v>
      </c>
      <c r="N41" s="146">
        <v>17272</v>
      </c>
      <c r="O41" s="145">
        <v>14403</v>
      </c>
    </row>
    <row r="42" spans="1:15" ht="12.75" customHeight="1">
      <c r="A42" s="81"/>
      <c r="B42" s="78" t="s">
        <v>138</v>
      </c>
      <c r="C42" s="301">
        <v>348205</v>
      </c>
      <c r="D42" s="147">
        <v>33797</v>
      </c>
      <c r="E42" s="147">
        <v>35027</v>
      </c>
      <c r="F42" s="147">
        <v>35982</v>
      </c>
      <c r="G42" s="147">
        <v>36590</v>
      </c>
      <c r="H42" s="147">
        <v>36905</v>
      </c>
      <c r="I42" s="147">
        <v>33918</v>
      </c>
      <c r="J42" s="147">
        <v>28312</v>
      </c>
      <c r="K42" s="147">
        <v>27874</v>
      </c>
      <c r="L42" s="147">
        <v>32666</v>
      </c>
      <c r="M42" s="148">
        <v>18562</v>
      </c>
      <c r="N42" s="148">
        <v>14976</v>
      </c>
      <c r="O42" s="148">
        <v>13596</v>
      </c>
    </row>
    <row r="44" spans="1:15" ht="14.25">
      <c r="A44" s="96" t="s">
        <v>139</v>
      </c>
      <c r="B44" s="149"/>
      <c r="C44" s="149"/>
      <c r="D44" s="149"/>
      <c r="E44" s="149"/>
      <c r="F44" s="149"/>
      <c r="G44" s="149"/>
      <c r="H44" s="149"/>
      <c r="I44" s="149"/>
      <c r="J44" s="149"/>
      <c r="K44" s="149"/>
      <c r="L44" s="149"/>
      <c r="M44" s="149"/>
      <c r="N44" s="149"/>
      <c r="O44" s="149"/>
    </row>
    <row r="45" spans="1:15" ht="14.25">
      <c r="A45" s="97"/>
      <c r="B45" s="97"/>
      <c r="C45" s="97"/>
      <c r="D45" s="97"/>
      <c r="E45" s="97"/>
      <c r="F45" s="97"/>
      <c r="G45" s="97"/>
      <c r="H45" s="97"/>
      <c r="I45" s="97"/>
      <c r="J45" s="97"/>
      <c r="K45" s="97"/>
      <c r="L45" s="97"/>
      <c r="M45" s="97"/>
      <c r="N45" s="97"/>
      <c r="O45" s="97"/>
    </row>
    <row r="46" spans="1:15" ht="12.75" customHeight="1">
      <c r="A46" s="549" t="s">
        <v>74</v>
      </c>
      <c r="B46" s="549"/>
      <c r="C46" s="98" t="s">
        <v>140</v>
      </c>
      <c r="D46" s="341" t="s">
        <v>75</v>
      </c>
      <c r="E46" s="341" t="s">
        <v>76</v>
      </c>
      <c r="F46" s="341" t="s">
        <v>77</v>
      </c>
      <c r="G46" s="341" t="s">
        <v>78</v>
      </c>
      <c r="H46" s="347" t="s">
        <v>79</v>
      </c>
      <c r="I46" s="347" t="s">
        <v>80</v>
      </c>
      <c r="J46" s="347" t="s">
        <v>81</v>
      </c>
      <c r="K46" s="347" t="s">
        <v>82</v>
      </c>
      <c r="L46" s="347" t="s">
        <v>83</v>
      </c>
      <c r="M46" s="121" t="s">
        <v>84</v>
      </c>
      <c r="N46" s="121" t="s">
        <v>85</v>
      </c>
      <c r="O46" s="121" t="s">
        <v>86</v>
      </c>
    </row>
    <row r="47" spans="1:15" ht="12.75" outlineLevel="1">
      <c r="A47" s="99">
        <v>41</v>
      </c>
      <c r="B47" s="100" t="s">
        <v>87</v>
      </c>
      <c r="C47" s="101">
        <f aca="true" t="shared" si="3" ref="C47:C59">SUM(D47:O47)</f>
        <v>860</v>
      </c>
      <c r="D47" s="348">
        <v>26</v>
      </c>
      <c r="E47" s="348">
        <v>19</v>
      </c>
      <c r="F47" s="348">
        <v>17</v>
      </c>
      <c r="G47" s="349">
        <v>13</v>
      </c>
      <c r="H47" s="349">
        <v>9</v>
      </c>
      <c r="I47" s="349">
        <v>8</v>
      </c>
      <c r="J47" s="349">
        <v>15</v>
      </c>
      <c r="K47" s="349">
        <v>23</v>
      </c>
      <c r="L47" s="349">
        <v>64</v>
      </c>
      <c r="M47" s="122">
        <v>196</v>
      </c>
      <c r="N47" s="122">
        <v>214</v>
      </c>
      <c r="O47" s="122">
        <v>256</v>
      </c>
    </row>
    <row r="48" spans="1:15" ht="12.75" outlineLevel="1">
      <c r="A48" s="99">
        <v>42</v>
      </c>
      <c r="B48" s="100" t="s">
        <v>88</v>
      </c>
      <c r="C48" s="101">
        <f t="shared" si="3"/>
        <v>779</v>
      </c>
      <c r="D48" s="348">
        <v>0</v>
      </c>
      <c r="E48" s="348">
        <v>0</v>
      </c>
      <c r="F48" s="348">
        <v>0</v>
      </c>
      <c r="G48" s="350">
        <v>0</v>
      </c>
      <c r="H48" s="350">
        <v>0</v>
      </c>
      <c r="I48" s="350">
        <v>0</v>
      </c>
      <c r="J48" s="350">
        <v>11</v>
      </c>
      <c r="K48" s="350">
        <v>21</v>
      </c>
      <c r="L48" s="350">
        <v>44</v>
      </c>
      <c r="M48" s="123">
        <v>158</v>
      </c>
      <c r="N48" s="123">
        <v>229</v>
      </c>
      <c r="O48" s="123">
        <v>316</v>
      </c>
    </row>
    <row r="49" spans="1:15" ht="12.75" outlineLevel="1">
      <c r="A49" s="99">
        <v>43</v>
      </c>
      <c r="B49" s="100" t="s">
        <v>89</v>
      </c>
      <c r="C49" s="101">
        <f t="shared" si="3"/>
        <v>740</v>
      </c>
      <c r="D49" s="348">
        <v>0</v>
      </c>
      <c r="E49" s="348">
        <v>0</v>
      </c>
      <c r="F49" s="348">
        <v>0</v>
      </c>
      <c r="G49" s="350">
        <v>0</v>
      </c>
      <c r="H49" s="350">
        <v>0</v>
      </c>
      <c r="I49" s="350">
        <v>0</v>
      </c>
      <c r="J49" s="350">
        <v>8</v>
      </c>
      <c r="K49" s="350">
        <v>33</v>
      </c>
      <c r="L49" s="350">
        <v>66</v>
      </c>
      <c r="M49" s="123">
        <v>194</v>
      </c>
      <c r="N49" s="123">
        <v>195</v>
      </c>
      <c r="O49" s="123">
        <v>244</v>
      </c>
    </row>
    <row r="50" spans="1:15" ht="12.75" outlineLevel="1">
      <c r="A50" s="99">
        <v>44</v>
      </c>
      <c r="B50" s="100" t="s">
        <v>90</v>
      </c>
      <c r="C50" s="101">
        <f t="shared" si="3"/>
        <v>606</v>
      </c>
      <c r="D50" s="348">
        <v>2</v>
      </c>
      <c r="E50" s="348">
        <v>4</v>
      </c>
      <c r="F50" s="348">
        <v>2</v>
      </c>
      <c r="G50" s="350">
        <v>0</v>
      </c>
      <c r="H50" s="350">
        <v>2</v>
      </c>
      <c r="I50" s="350">
        <v>6</v>
      </c>
      <c r="J50" s="350">
        <v>9</v>
      </c>
      <c r="K50" s="350">
        <v>32</v>
      </c>
      <c r="L50" s="350">
        <v>63</v>
      </c>
      <c r="M50" s="123">
        <v>128</v>
      </c>
      <c r="N50" s="123">
        <v>145</v>
      </c>
      <c r="O50" s="123">
        <v>213</v>
      </c>
    </row>
    <row r="51" spans="1:15" ht="12.75" outlineLevel="1">
      <c r="A51" s="99">
        <v>45</v>
      </c>
      <c r="B51" s="100" t="s">
        <v>91</v>
      </c>
      <c r="C51" s="101">
        <f t="shared" si="3"/>
        <v>1902</v>
      </c>
      <c r="D51" s="348">
        <v>0</v>
      </c>
      <c r="E51" s="348">
        <v>0</v>
      </c>
      <c r="F51" s="348">
        <v>0</v>
      </c>
      <c r="G51" s="350">
        <v>0</v>
      </c>
      <c r="H51" s="350">
        <v>1</v>
      </c>
      <c r="I51" s="350">
        <v>4</v>
      </c>
      <c r="J51" s="350">
        <v>37</v>
      </c>
      <c r="K51" s="350">
        <v>77</v>
      </c>
      <c r="L51" s="350">
        <v>141</v>
      </c>
      <c r="M51" s="123">
        <v>518</v>
      </c>
      <c r="N51" s="123">
        <v>551</v>
      </c>
      <c r="O51" s="123">
        <v>573</v>
      </c>
    </row>
    <row r="52" spans="1:15" ht="12.75" outlineLevel="1">
      <c r="A52" s="102">
        <v>10</v>
      </c>
      <c r="B52" s="103" t="s">
        <v>93</v>
      </c>
      <c r="C52" s="101">
        <f t="shared" si="3"/>
        <v>209</v>
      </c>
      <c r="D52" s="348">
        <v>0</v>
      </c>
      <c r="E52" s="348">
        <v>0</v>
      </c>
      <c r="F52" s="348">
        <v>0</v>
      </c>
      <c r="G52" s="351">
        <v>2</v>
      </c>
      <c r="H52" s="351">
        <v>0</v>
      </c>
      <c r="I52" s="351">
        <v>0</v>
      </c>
      <c r="J52" s="351">
        <v>4</v>
      </c>
      <c r="K52" s="351">
        <v>18</v>
      </c>
      <c r="L52" s="351">
        <v>28</v>
      </c>
      <c r="M52" s="124">
        <v>43</v>
      </c>
      <c r="N52" s="124">
        <v>44</v>
      </c>
      <c r="O52" s="124">
        <v>70</v>
      </c>
    </row>
    <row r="53" spans="1:15" ht="12.75" outlineLevel="1">
      <c r="A53" s="99">
        <v>25</v>
      </c>
      <c r="B53" s="100" t="s">
        <v>95</v>
      </c>
      <c r="C53" s="101">
        <f t="shared" si="3"/>
        <v>254</v>
      </c>
      <c r="D53" s="348">
        <v>0</v>
      </c>
      <c r="E53" s="348">
        <v>0</v>
      </c>
      <c r="F53" s="348">
        <v>0</v>
      </c>
      <c r="G53" s="351">
        <v>0</v>
      </c>
      <c r="H53" s="351">
        <v>0</v>
      </c>
      <c r="I53" s="351">
        <v>0</v>
      </c>
      <c r="J53" s="351">
        <v>17</v>
      </c>
      <c r="K53" s="351">
        <v>19</v>
      </c>
      <c r="L53" s="351">
        <v>40</v>
      </c>
      <c r="M53" s="124">
        <v>60</v>
      </c>
      <c r="N53" s="124">
        <v>53</v>
      </c>
      <c r="O53" s="124">
        <v>65</v>
      </c>
    </row>
    <row r="54" spans="1:15" ht="12.75" outlineLevel="1">
      <c r="A54" s="99">
        <v>27</v>
      </c>
      <c r="B54" s="100" t="s">
        <v>97</v>
      </c>
      <c r="C54" s="101">
        <f t="shared" si="3"/>
        <v>435</v>
      </c>
      <c r="D54" s="348">
        <v>0</v>
      </c>
      <c r="E54" s="348">
        <v>0</v>
      </c>
      <c r="F54" s="348">
        <v>0</v>
      </c>
      <c r="G54" s="351">
        <v>0</v>
      </c>
      <c r="H54" s="351">
        <v>0</v>
      </c>
      <c r="I54" s="351">
        <v>0</v>
      </c>
      <c r="J54" s="351">
        <v>10</v>
      </c>
      <c r="K54" s="351">
        <v>15</v>
      </c>
      <c r="L54" s="351">
        <v>32</v>
      </c>
      <c r="M54" s="124">
        <v>89</v>
      </c>
      <c r="N54" s="124">
        <v>147</v>
      </c>
      <c r="O54" s="124">
        <v>142</v>
      </c>
    </row>
    <row r="55" spans="1:15" ht="12.75" outlineLevel="1">
      <c r="A55" s="99">
        <v>28</v>
      </c>
      <c r="B55" s="100" t="s">
        <v>99</v>
      </c>
      <c r="C55" s="101">
        <f t="shared" si="3"/>
        <v>289</v>
      </c>
      <c r="D55" s="348">
        <v>0</v>
      </c>
      <c r="E55" s="348">
        <v>1</v>
      </c>
      <c r="F55" s="348">
        <v>1</v>
      </c>
      <c r="G55" s="351">
        <v>1</v>
      </c>
      <c r="H55" s="351">
        <v>3</v>
      </c>
      <c r="I55" s="351">
        <v>7</v>
      </c>
      <c r="J55" s="351">
        <v>12</v>
      </c>
      <c r="K55" s="351">
        <v>20</v>
      </c>
      <c r="L55" s="351">
        <v>37</v>
      </c>
      <c r="M55" s="124">
        <v>69</v>
      </c>
      <c r="N55" s="124">
        <v>65</v>
      </c>
      <c r="O55" s="124">
        <v>73</v>
      </c>
    </row>
    <row r="56" spans="1:15" ht="12.75" outlineLevel="1">
      <c r="A56" s="99">
        <v>29</v>
      </c>
      <c r="B56" s="100" t="s">
        <v>101</v>
      </c>
      <c r="C56" s="101">
        <f t="shared" si="3"/>
        <v>285</v>
      </c>
      <c r="D56" s="348">
        <v>0</v>
      </c>
      <c r="E56" s="348">
        <v>0</v>
      </c>
      <c r="F56" s="348">
        <v>0</v>
      </c>
      <c r="G56" s="352">
        <v>0</v>
      </c>
      <c r="H56" s="352">
        <v>0</v>
      </c>
      <c r="I56" s="352">
        <v>0</v>
      </c>
      <c r="J56" s="352">
        <v>2</v>
      </c>
      <c r="K56" s="352">
        <v>15</v>
      </c>
      <c r="L56" s="352">
        <v>10</v>
      </c>
      <c r="M56" s="125">
        <v>92</v>
      </c>
      <c r="N56" s="125">
        <v>87</v>
      </c>
      <c r="O56" s="125">
        <v>79</v>
      </c>
    </row>
    <row r="57" spans="1:15" ht="12.75" outlineLevel="1">
      <c r="A57" s="99">
        <v>30</v>
      </c>
      <c r="B57" s="100" t="s">
        <v>103</v>
      </c>
      <c r="C57" s="101">
        <f t="shared" si="3"/>
        <v>376</v>
      </c>
      <c r="D57" s="348">
        <v>0</v>
      </c>
      <c r="E57" s="348">
        <v>0</v>
      </c>
      <c r="F57" s="348">
        <v>0</v>
      </c>
      <c r="G57" s="352">
        <v>0</v>
      </c>
      <c r="H57" s="352">
        <v>0</v>
      </c>
      <c r="I57" s="352">
        <v>0</v>
      </c>
      <c r="J57" s="352">
        <v>7</v>
      </c>
      <c r="K57" s="352">
        <v>10</v>
      </c>
      <c r="L57" s="352">
        <v>42</v>
      </c>
      <c r="M57" s="125">
        <v>114</v>
      </c>
      <c r="N57" s="125">
        <v>97</v>
      </c>
      <c r="O57" s="125">
        <v>106</v>
      </c>
    </row>
    <row r="58" spans="1:15" ht="12.75" outlineLevel="1">
      <c r="A58" s="99">
        <v>31</v>
      </c>
      <c r="B58" s="100" t="s">
        <v>105</v>
      </c>
      <c r="C58" s="101">
        <f t="shared" si="3"/>
        <v>268</v>
      </c>
      <c r="D58" s="348">
        <v>0</v>
      </c>
      <c r="E58" s="348">
        <v>0</v>
      </c>
      <c r="F58" s="348">
        <v>0</v>
      </c>
      <c r="G58" s="352">
        <v>0</v>
      </c>
      <c r="H58" s="352">
        <v>0</v>
      </c>
      <c r="I58" s="352">
        <v>0</v>
      </c>
      <c r="J58" s="352">
        <v>1</v>
      </c>
      <c r="K58" s="352">
        <v>1</v>
      </c>
      <c r="L58" s="352">
        <v>7</v>
      </c>
      <c r="M58" s="125">
        <v>66</v>
      </c>
      <c r="N58" s="125">
        <v>87</v>
      </c>
      <c r="O58" s="125">
        <v>106</v>
      </c>
    </row>
    <row r="59" spans="1:15" ht="12.75" outlineLevel="1">
      <c r="A59" s="99">
        <v>32</v>
      </c>
      <c r="B59" s="100" t="s">
        <v>107</v>
      </c>
      <c r="C59" s="101">
        <f t="shared" si="3"/>
        <v>196</v>
      </c>
      <c r="D59" s="348">
        <v>0</v>
      </c>
      <c r="E59" s="348">
        <v>0</v>
      </c>
      <c r="F59" s="348">
        <v>0</v>
      </c>
      <c r="G59" s="352">
        <v>0</v>
      </c>
      <c r="H59" s="352">
        <v>0</v>
      </c>
      <c r="I59" s="352">
        <v>0</v>
      </c>
      <c r="J59" s="352">
        <v>5</v>
      </c>
      <c r="K59" s="352">
        <v>14</v>
      </c>
      <c r="L59" s="352">
        <v>21</v>
      </c>
      <c r="M59" s="125">
        <v>58</v>
      </c>
      <c r="N59" s="125">
        <v>48</v>
      </c>
      <c r="O59" s="125">
        <v>50</v>
      </c>
    </row>
    <row r="60" spans="1:15" ht="12.75" outlineLevel="1">
      <c r="A60" s="105"/>
      <c r="B60" s="105" t="s">
        <v>141</v>
      </c>
      <c r="C60" s="106">
        <f aca="true" t="shared" si="4" ref="C60:O60">SUM(C61:C66)</f>
        <v>3443</v>
      </c>
      <c r="D60" s="353">
        <f t="shared" si="4"/>
        <v>9</v>
      </c>
      <c r="E60" s="353">
        <f t="shared" si="4"/>
        <v>1</v>
      </c>
      <c r="F60" s="353">
        <f t="shared" si="4"/>
        <v>3</v>
      </c>
      <c r="G60" s="353">
        <f t="shared" si="4"/>
        <v>6</v>
      </c>
      <c r="H60" s="353">
        <f t="shared" si="4"/>
        <v>13</v>
      </c>
      <c r="I60" s="353">
        <f t="shared" si="4"/>
        <v>38</v>
      </c>
      <c r="J60" s="353">
        <f t="shared" si="4"/>
        <v>76</v>
      </c>
      <c r="K60" s="353">
        <f t="shared" si="4"/>
        <v>161</v>
      </c>
      <c r="L60" s="353">
        <f t="shared" si="4"/>
        <v>265</v>
      </c>
      <c r="M60" s="126">
        <f t="shared" si="4"/>
        <v>933</v>
      </c>
      <c r="N60" s="126">
        <f t="shared" si="4"/>
        <v>849</v>
      </c>
      <c r="O60" s="126">
        <f t="shared" si="4"/>
        <v>1089</v>
      </c>
    </row>
    <row r="61" spans="1:15" ht="12.75" outlineLevel="1">
      <c r="A61" s="107">
        <v>34</v>
      </c>
      <c r="B61" s="101" t="s">
        <v>142</v>
      </c>
      <c r="C61" s="101">
        <f>SUM(G61:O61)</f>
        <v>291</v>
      </c>
      <c r="D61" s="348">
        <v>0</v>
      </c>
      <c r="E61" s="348">
        <v>0</v>
      </c>
      <c r="F61" s="348">
        <v>0</v>
      </c>
      <c r="G61" s="348">
        <v>0</v>
      </c>
      <c r="H61" s="348">
        <v>0</v>
      </c>
      <c r="I61" s="348">
        <v>0</v>
      </c>
      <c r="J61" s="348">
        <v>4</v>
      </c>
      <c r="K61" s="348">
        <v>14</v>
      </c>
      <c r="L61" s="348">
        <v>26</v>
      </c>
      <c r="M61" s="127">
        <v>70</v>
      </c>
      <c r="N61" s="127">
        <v>70</v>
      </c>
      <c r="O61" s="127">
        <v>107</v>
      </c>
    </row>
    <row r="62" spans="1:15" ht="12.75" outlineLevel="1">
      <c r="A62" s="108">
        <v>35</v>
      </c>
      <c r="B62" s="104" t="s">
        <v>143</v>
      </c>
      <c r="C62" s="101">
        <f>SUM(D62:O62)</f>
        <v>0</v>
      </c>
      <c r="D62" s="348"/>
      <c r="E62" s="348"/>
      <c r="F62" s="348"/>
      <c r="G62" s="352"/>
      <c r="H62" s="352"/>
      <c r="I62" s="352"/>
      <c r="J62" s="352"/>
      <c r="K62" s="352"/>
      <c r="L62" s="352"/>
      <c r="M62" s="125"/>
      <c r="N62" s="125"/>
      <c r="O62" s="125"/>
    </row>
    <row r="63" spans="1:15" ht="12.75" outlineLevel="1">
      <c r="A63" s="108">
        <v>36</v>
      </c>
      <c r="B63" s="104" t="s">
        <v>144</v>
      </c>
      <c r="C63" s="101">
        <f>SUM(D63:O63)</f>
        <v>1211</v>
      </c>
      <c r="D63" s="348">
        <v>9</v>
      </c>
      <c r="E63" s="348">
        <v>1</v>
      </c>
      <c r="F63" s="348">
        <v>2</v>
      </c>
      <c r="G63" s="352">
        <v>5</v>
      </c>
      <c r="H63" s="352">
        <v>5</v>
      </c>
      <c r="I63" s="352">
        <v>8</v>
      </c>
      <c r="J63" s="352">
        <v>13</v>
      </c>
      <c r="K63" s="352">
        <v>28</v>
      </c>
      <c r="L63" s="352">
        <v>80</v>
      </c>
      <c r="M63" s="125">
        <v>379</v>
      </c>
      <c r="N63" s="125">
        <v>304</v>
      </c>
      <c r="O63" s="125">
        <v>377</v>
      </c>
    </row>
    <row r="64" spans="1:15" ht="12.75" outlineLevel="1">
      <c r="A64" s="108">
        <v>37</v>
      </c>
      <c r="B64" s="104" t="s">
        <v>145</v>
      </c>
      <c r="C64" s="101">
        <f>SUM(D64:O64)</f>
        <v>952</v>
      </c>
      <c r="D64" s="348">
        <v>0</v>
      </c>
      <c r="E64" s="348">
        <v>0</v>
      </c>
      <c r="F64" s="348">
        <v>0</v>
      </c>
      <c r="G64" s="352">
        <v>0</v>
      </c>
      <c r="H64" s="352">
        <v>0</v>
      </c>
      <c r="I64" s="352">
        <v>0</v>
      </c>
      <c r="J64" s="352">
        <v>28</v>
      </c>
      <c r="K64" s="352">
        <v>72</v>
      </c>
      <c r="L64" s="352">
        <v>73</v>
      </c>
      <c r="M64" s="125">
        <v>245</v>
      </c>
      <c r="N64" s="125">
        <v>222</v>
      </c>
      <c r="O64" s="125">
        <v>312</v>
      </c>
    </row>
    <row r="65" spans="1:15" ht="12.75" outlineLevel="1">
      <c r="A65" s="108">
        <v>38</v>
      </c>
      <c r="B65" s="104" t="s">
        <v>146</v>
      </c>
      <c r="C65" s="101">
        <f>SUM(D65:O65)</f>
        <v>367</v>
      </c>
      <c r="D65" s="348">
        <v>0</v>
      </c>
      <c r="E65" s="348">
        <v>0</v>
      </c>
      <c r="F65" s="348">
        <v>0</v>
      </c>
      <c r="G65" s="352">
        <v>0</v>
      </c>
      <c r="H65" s="352">
        <v>7</v>
      </c>
      <c r="I65" s="352">
        <v>9</v>
      </c>
      <c r="J65" s="352">
        <v>4</v>
      </c>
      <c r="K65" s="352">
        <v>19</v>
      </c>
      <c r="L65" s="352">
        <v>34</v>
      </c>
      <c r="M65" s="125">
        <v>80</v>
      </c>
      <c r="N65" s="125">
        <v>95</v>
      </c>
      <c r="O65" s="125">
        <v>119</v>
      </c>
    </row>
    <row r="66" spans="1:15" ht="12.75" outlineLevel="1">
      <c r="A66" s="109">
        <v>39</v>
      </c>
      <c r="B66" s="110" t="s">
        <v>147</v>
      </c>
      <c r="C66" s="101">
        <f>SUM(D66:O66)</f>
        <v>622</v>
      </c>
      <c r="D66" s="354">
        <v>0</v>
      </c>
      <c r="E66" s="354">
        <v>0</v>
      </c>
      <c r="F66" s="354">
        <v>1</v>
      </c>
      <c r="G66" s="355">
        <v>1</v>
      </c>
      <c r="H66" s="355">
        <v>1</v>
      </c>
      <c r="I66" s="355">
        <v>21</v>
      </c>
      <c r="J66" s="355">
        <v>27</v>
      </c>
      <c r="K66" s="355">
        <v>28</v>
      </c>
      <c r="L66" s="355">
        <v>52</v>
      </c>
      <c r="M66" s="128">
        <v>159</v>
      </c>
      <c r="N66" s="128">
        <v>158</v>
      </c>
      <c r="O66" s="128">
        <v>174</v>
      </c>
    </row>
    <row r="67" spans="1:15" ht="12.75" hidden="1">
      <c r="A67" s="111"/>
      <c r="B67" s="111" t="s">
        <v>148</v>
      </c>
      <c r="C67" s="301">
        <f aca="true" t="shared" si="5" ref="C67:O67">SUM(C47:C60)</f>
        <v>10642</v>
      </c>
      <c r="D67" s="356">
        <f t="shared" si="5"/>
        <v>37</v>
      </c>
      <c r="E67" s="356">
        <f t="shared" si="5"/>
        <v>25</v>
      </c>
      <c r="F67" s="356">
        <f t="shared" si="5"/>
        <v>23</v>
      </c>
      <c r="G67" s="356">
        <f t="shared" si="5"/>
        <v>22</v>
      </c>
      <c r="H67" s="356">
        <f t="shared" si="5"/>
        <v>28</v>
      </c>
      <c r="I67" s="356">
        <f t="shared" si="5"/>
        <v>63</v>
      </c>
      <c r="J67" s="356">
        <f t="shared" si="5"/>
        <v>214</v>
      </c>
      <c r="K67" s="356">
        <f t="shared" si="5"/>
        <v>459</v>
      </c>
      <c r="L67" s="356">
        <f t="shared" si="5"/>
        <v>860</v>
      </c>
      <c r="M67" s="129">
        <f t="shared" si="5"/>
        <v>2718</v>
      </c>
      <c r="N67" s="129">
        <f t="shared" si="5"/>
        <v>2811</v>
      </c>
      <c r="O67" s="129">
        <f t="shared" si="5"/>
        <v>3382</v>
      </c>
    </row>
    <row r="68" spans="1:15" ht="12.75" hidden="1">
      <c r="A68" s="112"/>
      <c r="B68" s="112"/>
      <c r="C68" s="112"/>
      <c r="D68" s="112"/>
      <c r="E68" s="112"/>
      <c r="F68" s="112"/>
      <c r="G68" s="112"/>
      <c r="H68" s="112"/>
      <c r="I68" s="112"/>
      <c r="J68" s="112"/>
      <c r="K68" s="112"/>
      <c r="L68" s="112"/>
      <c r="M68" s="130"/>
      <c r="N68" s="130"/>
      <c r="O68" s="130"/>
    </row>
    <row r="69" spans="1:15" ht="12.75" hidden="1">
      <c r="A69" s="113"/>
      <c r="B69" s="113" t="s">
        <v>122</v>
      </c>
      <c r="C69" s="301">
        <v>10567</v>
      </c>
      <c r="D69" s="113">
        <v>24</v>
      </c>
      <c r="E69" s="113">
        <v>27</v>
      </c>
      <c r="F69" s="113">
        <v>16</v>
      </c>
      <c r="G69" s="113">
        <v>9</v>
      </c>
      <c r="H69" s="113">
        <v>31</v>
      </c>
      <c r="I69" s="113">
        <v>44</v>
      </c>
      <c r="J69" s="113">
        <v>224</v>
      </c>
      <c r="K69" s="113">
        <v>438</v>
      </c>
      <c r="L69" s="201">
        <v>845</v>
      </c>
      <c r="M69" s="131">
        <v>2842</v>
      </c>
      <c r="N69" s="131">
        <v>2846</v>
      </c>
      <c r="O69" s="299">
        <v>3221</v>
      </c>
    </row>
    <row r="70" spans="1:15" ht="12.75" hidden="1">
      <c r="A70" s="113"/>
      <c r="B70" s="113" t="s">
        <v>123</v>
      </c>
      <c r="C70" s="301">
        <v>11267</v>
      </c>
      <c r="D70" s="113">
        <v>8</v>
      </c>
      <c r="E70" s="113">
        <v>10</v>
      </c>
      <c r="F70" s="113">
        <v>3</v>
      </c>
      <c r="G70" s="113">
        <v>9</v>
      </c>
      <c r="H70" s="113">
        <v>10</v>
      </c>
      <c r="I70" s="113">
        <v>38</v>
      </c>
      <c r="J70" s="113">
        <v>212</v>
      </c>
      <c r="K70" s="201">
        <v>413</v>
      </c>
      <c r="L70" s="113">
        <v>956</v>
      </c>
      <c r="M70" s="131">
        <v>3172</v>
      </c>
      <c r="N70" s="299">
        <v>2941</v>
      </c>
      <c r="O70" s="131">
        <v>3495</v>
      </c>
    </row>
    <row r="71" spans="1:15" ht="12.75" hidden="1">
      <c r="A71" s="104"/>
      <c r="B71" s="114" t="s">
        <v>124</v>
      </c>
      <c r="C71" s="301">
        <v>11727</v>
      </c>
      <c r="D71" s="290">
        <v>0</v>
      </c>
      <c r="E71" s="290">
        <v>0</v>
      </c>
      <c r="F71" s="290">
        <v>0</v>
      </c>
      <c r="G71" s="114">
        <v>4</v>
      </c>
      <c r="H71" s="114">
        <v>15</v>
      </c>
      <c r="I71" s="114">
        <v>36</v>
      </c>
      <c r="J71" s="202">
        <v>205</v>
      </c>
      <c r="K71" s="114">
        <v>430</v>
      </c>
      <c r="L71" s="114">
        <v>900</v>
      </c>
      <c r="M71" s="299">
        <v>3365</v>
      </c>
      <c r="N71" s="132">
        <v>3249</v>
      </c>
      <c r="O71" s="132">
        <v>3523</v>
      </c>
    </row>
    <row r="72" spans="1:15" ht="12.75" hidden="1">
      <c r="A72" s="104"/>
      <c r="B72" s="116" t="s">
        <v>125</v>
      </c>
      <c r="C72" s="301">
        <v>12002</v>
      </c>
      <c r="D72" s="290">
        <v>0</v>
      </c>
      <c r="E72" s="290">
        <v>0</v>
      </c>
      <c r="F72" s="290">
        <v>0</v>
      </c>
      <c r="G72" s="114">
        <v>1</v>
      </c>
      <c r="H72" s="114">
        <v>16</v>
      </c>
      <c r="I72" s="202">
        <v>35</v>
      </c>
      <c r="J72" s="114">
        <v>204</v>
      </c>
      <c r="K72" s="114">
        <v>426</v>
      </c>
      <c r="L72" s="114">
        <v>805</v>
      </c>
      <c r="M72" s="132">
        <v>3457</v>
      </c>
      <c r="N72" s="132">
        <v>3424</v>
      </c>
      <c r="O72" s="132">
        <v>3634</v>
      </c>
    </row>
    <row r="73" spans="1:15" ht="12.75" hidden="1">
      <c r="A73" s="104"/>
      <c r="B73" s="116" t="s">
        <v>126</v>
      </c>
      <c r="C73" s="301">
        <v>12732</v>
      </c>
      <c r="D73" s="290">
        <v>0</v>
      </c>
      <c r="E73" s="290">
        <v>0</v>
      </c>
      <c r="F73" s="290">
        <v>0</v>
      </c>
      <c r="G73" s="114">
        <v>3</v>
      </c>
      <c r="H73" s="202">
        <v>19</v>
      </c>
      <c r="I73" s="114">
        <v>39</v>
      </c>
      <c r="J73" s="114">
        <v>187</v>
      </c>
      <c r="K73" s="114">
        <v>433</v>
      </c>
      <c r="L73" s="114">
        <v>824</v>
      </c>
      <c r="M73" s="132">
        <v>3569</v>
      </c>
      <c r="N73" s="132">
        <v>3905</v>
      </c>
      <c r="O73" s="132">
        <v>3753</v>
      </c>
    </row>
    <row r="74" spans="1:15" ht="12.75" hidden="1">
      <c r="A74" s="104"/>
      <c r="B74" s="116" t="s">
        <v>127</v>
      </c>
      <c r="C74" s="301">
        <v>13811</v>
      </c>
      <c r="D74" s="290">
        <v>0</v>
      </c>
      <c r="E74" s="290">
        <v>0</v>
      </c>
      <c r="F74" s="290">
        <v>0</v>
      </c>
      <c r="G74" s="202">
        <v>8</v>
      </c>
      <c r="H74" s="114">
        <v>16</v>
      </c>
      <c r="I74" s="114">
        <v>38</v>
      </c>
      <c r="J74" s="114">
        <v>226</v>
      </c>
      <c r="K74" s="114">
        <v>558</v>
      </c>
      <c r="L74" s="114">
        <v>1059</v>
      </c>
      <c r="M74" s="132">
        <v>4110</v>
      </c>
      <c r="N74" s="132">
        <v>3928</v>
      </c>
      <c r="O74" s="132">
        <v>3868</v>
      </c>
    </row>
    <row r="75" spans="1:15" ht="12.75" hidden="1">
      <c r="A75" s="104"/>
      <c r="B75" s="116" t="s">
        <v>128</v>
      </c>
      <c r="C75" s="301">
        <v>13223</v>
      </c>
      <c r="D75" s="290">
        <v>0</v>
      </c>
      <c r="E75" s="290">
        <v>0</v>
      </c>
      <c r="F75" s="291">
        <v>0</v>
      </c>
      <c r="G75" s="114">
        <v>6</v>
      </c>
      <c r="H75" s="114">
        <v>15</v>
      </c>
      <c r="I75" s="114">
        <v>55</v>
      </c>
      <c r="J75" s="114">
        <v>229</v>
      </c>
      <c r="K75" s="114">
        <v>633</v>
      </c>
      <c r="L75" s="114">
        <v>1311</v>
      </c>
      <c r="M75" s="132">
        <v>3815</v>
      </c>
      <c r="N75" s="132">
        <v>3607</v>
      </c>
      <c r="O75" s="132">
        <v>3552</v>
      </c>
    </row>
    <row r="76" spans="1:15" ht="12.75" hidden="1">
      <c r="A76" s="104"/>
      <c r="B76" s="116" t="s">
        <v>129</v>
      </c>
      <c r="C76" s="301">
        <v>13003</v>
      </c>
      <c r="D76" s="290">
        <v>0</v>
      </c>
      <c r="E76" s="291">
        <v>0</v>
      </c>
      <c r="F76" s="290">
        <v>0</v>
      </c>
      <c r="G76" s="114">
        <v>6</v>
      </c>
      <c r="H76" s="114">
        <v>14</v>
      </c>
      <c r="I76" s="114">
        <v>25</v>
      </c>
      <c r="J76" s="114">
        <v>222</v>
      </c>
      <c r="K76" s="114">
        <v>647</v>
      </c>
      <c r="L76" s="114">
        <v>1251</v>
      </c>
      <c r="M76" s="132">
        <v>3807</v>
      </c>
      <c r="N76" s="132">
        <v>3634</v>
      </c>
      <c r="O76" s="132">
        <v>3397</v>
      </c>
    </row>
    <row r="77" spans="1:15" ht="12.75" hidden="1">
      <c r="A77" s="104"/>
      <c r="B77" s="116" t="s">
        <v>130</v>
      </c>
      <c r="C77" s="301">
        <v>13761</v>
      </c>
      <c r="D77" s="291">
        <v>0</v>
      </c>
      <c r="E77" s="290">
        <v>0</v>
      </c>
      <c r="F77" s="290">
        <v>0</v>
      </c>
      <c r="G77" s="114">
        <v>14</v>
      </c>
      <c r="H77" s="114">
        <v>21</v>
      </c>
      <c r="I77" s="114">
        <v>24</v>
      </c>
      <c r="J77" s="114">
        <v>217</v>
      </c>
      <c r="K77" s="114">
        <v>590</v>
      </c>
      <c r="L77" s="114">
        <v>1304</v>
      </c>
      <c r="M77" s="132">
        <v>4071</v>
      </c>
      <c r="N77" s="132">
        <v>3695</v>
      </c>
      <c r="O77" s="132">
        <v>3825</v>
      </c>
    </row>
    <row r="78" spans="1:15" ht="12.75" hidden="1">
      <c r="A78" s="104"/>
      <c r="B78" s="116" t="s">
        <v>131</v>
      </c>
      <c r="C78" s="301">
        <v>14569</v>
      </c>
      <c r="D78" s="290">
        <v>0</v>
      </c>
      <c r="E78" s="290">
        <v>0</v>
      </c>
      <c r="F78" s="290">
        <v>0</v>
      </c>
      <c r="G78" s="114">
        <v>11</v>
      </c>
      <c r="H78" s="114">
        <v>13</v>
      </c>
      <c r="I78" s="114">
        <v>16</v>
      </c>
      <c r="J78" s="114">
        <v>242</v>
      </c>
      <c r="K78" s="114">
        <v>519</v>
      </c>
      <c r="L78" s="114">
        <v>1333</v>
      </c>
      <c r="M78" s="132">
        <v>4153</v>
      </c>
      <c r="N78" s="132">
        <v>4249</v>
      </c>
      <c r="O78" s="132">
        <v>4033</v>
      </c>
    </row>
    <row r="79" spans="1:15" ht="12.75" hidden="1">
      <c r="A79" s="104"/>
      <c r="B79" s="116" t="s">
        <v>132</v>
      </c>
      <c r="C79" s="301">
        <v>14966</v>
      </c>
      <c r="D79" s="290">
        <v>0</v>
      </c>
      <c r="E79" s="290">
        <v>0</v>
      </c>
      <c r="F79" s="290">
        <v>0</v>
      </c>
      <c r="G79" s="114">
        <v>18</v>
      </c>
      <c r="H79" s="114">
        <v>10</v>
      </c>
      <c r="I79" s="114">
        <v>24</v>
      </c>
      <c r="J79" s="114">
        <v>208</v>
      </c>
      <c r="K79" s="114">
        <v>493</v>
      </c>
      <c r="L79" s="114">
        <v>1230</v>
      </c>
      <c r="M79" s="132">
        <v>4387</v>
      </c>
      <c r="N79" s="132">
        <v>4571</v>
      </c>
      <c r="O79" s="132">
        <v>4025</v>
      </c>
    </row>
    <row r="80" spans="1:15" ht="12.75" hidden="1">
      <c r="A80" s="104"/>
      <c r="B80" s="116" t="s">
        <v>133</v>
      </c>
      <c r="C80" s="301">
        <v>14869</v>
      </c>
      <c r="D80" s="290">
        <v>0</v>
      </c>
      <c r="E80" s="290">
        <v>0</v>
      </c>
      <c r="F80" s="290">
        <v>0</v>
      </c>
      <c r="G80" s="114">
        <v>33</v>
      </c>
      <c r="H80" s="114">
        <v>25</v>
      </c>
      <c r="I80" s="114">
        <v>50</v>
      </c>
      <c r="J80" s="114">
        <v>224</v>
      </c>
      <c r="K80" s="114">
        <v>421</v>
      </c>
      <c r="L80" s="114">
        <v>1057</v>
      </c>
      <c r="M80" s="132">
        <v>4739</v>
      </c>
      <c r="N80" s="132">
        <v>4350</v>
      </c>
      <c r="O80" s="132">
        <v>3970</v>
      </c>
    </row>
    <row r="81" spans="1:15" ht="12.75" hidden="1">
      <c r="A81" s="104"/>
      <c r="B81" s="116" t="s">
        <v>134</v>
      </c>
      <c r="C81" s="301">
        <v>14805</v>
      </c>
      <c r="D81" s="290">
        <v>0</v>
      </c>
      <c r="E81" s="290">
        <v>0</v>
      </c>
      <c r="F81" s="290">
        <v>0</v>
      </c>
      <c r="G81" s="114">
        <v>18</v>
      </c>
      <c r="H81" s="114">
        <v>24</v>
      </c>
      <c r="I81" s="114">
        <v>41</v>
      </c>
      <c r="J81" s="114">
        <v>171</v>
      </c>
      <c r="K81" s="114">
        <v>479</v>
      </c>
      <c r="L81" s="114">
        <v>1079</v>
      </c>
      <c r="M81" s="132">
        <v>4342</v>
      </c>
      <c r="N81" s="132">
        <v>4410</v>
      </c>
      <c r="O81" s="132">
        <v>4241</v>
      </c>
    </row>
    <row r="82" spans="1:15" ht="12.75" hidden="1">
      <c r="A82" s="104"/>
      <c r="B82" s="116" t="s">
        <v>135</v>
      </c>
      <c r="C82" s="301">
        <v>15048</v>
      </c>
      <c r="D82" s="290">
        <v>0</v>
      </c>
      <c r="E82" s="290">
        <v>0</v>
      </c>
      <c r="F82" s="290">
        <v>0</v>
      </c>
      <c r="G82" s="114">
        <v>27</v>
      </c>
      <c r="H82" s="114">
        <v>11</v>
      </c>
      <c r="I82" s="114">
        <v>51</v>
      </c>
      <c r="J82" s="114">
        <v>238</v>
      </c>
      <c r="K82" s="114">
        <v>491</v>
      </c>
      <c r="L82" s="114">
        <v>1063</v>
      </c>
      <c r="M82" s="132">
        <v>4126</v>
      </c>
      <c r="N82" s="132">
        <v>4246</v>
      </c>
      <c r="O82" s="132">
        <v>4795</v>
      </c>
    </row>
    <row r="83" spans="1:15" ht="12.75" hidden="1">
      <c r="A83" s="104"/>
      <c r="B83" s="116" t="s">
        <v>136</v>
      </c>
      <c r="C83" s="301">
        <v>14996</v>
      </c>
      <c r="D83" s="290">
        <v>0</v>
      </c>
      <c r="E83" s="290">
        <v>0</v>
      </c>
      <c r="F83" s="290">
        <v>0</v>
      </c>
      <c r="G83" s="114">
        <v>37</v>
      </c>
      <c r="H83" s="114">
        <v>22</v>
      </c>
      <c r="I83" s="114">
        <v>32</v>
      </c>
      <c r="J83" s="114">
        <v>196</v>
      </c>
      <c r="K83" s="114">
        <v>428</v>
      </c>
      <c r="L83" s="114">
        <v>1265</v>
      </c>
      <c r="M83" s="132">
        <v>4279</v>
      </c>
      <c r="N83" s="132">
        <v>4371</v>
      </c>
      <c r="O83" s="132">
        <v>4366</v>
      </c>
    </row>
    <row r="84" spans="1:15" ht="12.75" hidden="1">
      <c r="A84" s="104"/>
      <c r="B84" s="116" t="s">
        <v>137</v>
      </c>
      <c r="C84" s="301">
        <v>14380</v>
      </c>
      <c r="D84" s="290">
        <v>0</v>
      </c>
      <c r="E84" s="290">
        <v>0</v>
      </c>
      <c r="F84" s="290">
        <v>0</v>
      </c>
      <c r="G84" s="114">
        <v>34</v>
      </c>
      <c r="H84" s="114">
        <v>14</v>
      </c>
      <c r="I84" s="114">
        <v>48</v>
      </c>
      <c r="J84" s="114">
        <v>201</v>
      </c>
      <c r="K84" s="114">
        <v>513</v>
      </c>
      <c r="L84" s="114">
        <v>1509</v>
      </c>
      <c r="M84" s="132">
        <v>4179</v>
      </c>
      <c r="N84" s="132">
        <v>3773</v>
      </c>
      <c r="O84" s="132">
        <v>4109</v>
      </c>
    </row>
    <row r="85" spans="1:15" ht="12.75" hidden="1">
      <c r="A85" s="117"/>
      <c r="B85" s="118" t="s">
        <v>138</v>
      </c>
      <c r="C85" s="301">
        <v>13517</v>
      </c>
      <c r="D85" s="292">
        <v>0</v>
      </c>
      <c r="E85" s="292">
        <v>0</v>
      </c>
      <c r="F85" s="292">
        <v>0</v>
      </c>
      <c r="G85" s="119">
        <v>12</v>
      </c>
      <c r="H85" s="119">
        <v>20</v>
      </c>
      <c r="I85" s="119">
        <v>50</v>
      </c>
      <c r="J85" s="119">
        <v>235</v>
      </c>
      <c r="K85" s="119">
        <v>673</v>
      </c>
      <c r="L85" s="119">
        <v>1760</v>
      </c>
      <c r="M85" s="133">
        <v>3544</v>
      </c>
      <c r="N85" s="133">
        <v>3538</v>
      </c>
      <c r="O85" s="133">
        <v>3685</v>
      </c>
    </row>
    <row r="86" spans="1:15" ht="12.75" hidden="1">
      <c r="A86" s="284"/>
      <c r="B86" s="285"/>
      <c r="C86" s="286"/>
      <c r="D86" s="287"/>
      <c r="E86" s="287"/>
      <c r="F86" s="287"/>
      <c r="G86" s="286"/>
      <c r="H86" s="286"/>
      <c r="I86" s="286"/>
      <c r="J86" s="286"/>
      <c r="K86" s="286"/>
      <c r="L86" s="286"/>
      <c r="M86" s="288"/>
      <c r="N86" s="288"/>
      <c r="O86" s="288"/>
    </row>
    <row r="87" spans="1:15" ht="14.25">
      <c r="A87" s="96" t="s">
        <v>291</v>
      </c>
      <c r="B87" s="285"/>
      <c r="C87" s="286"/>
      <c r="D87" s="287"/>
      <c r="E87" s="287"/>
      <c r="F87" s="287"/>
      <c r="G87" s="286"/>
      <c r="H87" s="286"/>
      <c r="I87" s="286"/>
      <c r="J87" s="286"/>
      <c r="K87" s="286"/>
      <c r="L87" s="286"/>
      <c r="M87" s="286"/>
      <c r="N87" s="286"/>
      <c r="O87" s="286"/>
    </row>
    <row r="88" spans="1:15" ht="12.75">
      <c r="A88" s="98" t="s">
        <v>581</v>
      </c>
      <c r="B88" s="432" t="s">
        <v>580</v>
      </c>
      <c r="D88" s="341" t="s">
        <v>75</v>
      </c>
      <c r="E88" s="287"/>
      <c r="F88" s="287"/>
      <c r="G88" s="286"/>
      <c r="H88" s="286"/>
      <c r="I88" s="286"/>
      <c r="J88" s="286"/>
      <c r="K88" s="286"/>
      <c r="L88" s="347" t="s">
        <v>83</v>
      </c>
      <c r="M88" s="286" t="s">
        <v>726</v>
      </c>
      <c r="N88" s="286"/>
      <c r="O88" s="286"/>
    </row>
    <row r="89" spans="1:15" ht="12.75">
      <c r="A89" s="113">
        <f>A90-1</f>
        <v>-5</v>
      </c>
      <c r="B89" s="113" t="s">
        <v>721</v>
      </c>
      <c r="D89" s="526">
        <f>AVERAGE(D90:D94)</f>
        <v>21161.95136</v>
      </c>
      <c r="E89" s="287"/>
      <c r="F89" s="287"/>
      <c r="G89" s="286"/>
      <c r="H89" s="286"/>
      <c r="I89" s="286"/>
      <c r="J89" s="286"/>
      <c r="K89" s="286"/>
      <c r="L89" s="286">
        <f aca="true" t="shared" si="6" ref="L89:L94">ROUND((1+$M$120)*$D89,0)</f>
        <v>20309</v>
      </c>
      <c r="M89" s="286">
        <f aca="true" t="shared" si="7" ref="M89:M100">2016-A89</f>
        <v>2021</v>
      </c>
      <c r="N89" s="286"/>
      <c r="O89" s="286"/>
    </row>
    <row r="90" spans="1:15" ht="12.75">
      <c r="A90" s="113">
        <f>A91-1</f>
        <v>-4</v>
      </c>
      <c r="B90" s="113" t="s">
        <v>722</v>
      </c>
      <c r="D90" s="526">
        <f>AVERAGE(D91:D95)</f>
        <v>21259.292800000003</v>
      </c>
      <c r="E90" s="287"/>
      <c r="F90" s="287"/>
      <c r="G90" s="286"/>
      <c r="H90" s="286"/>
      <c r="I90" s="286"/>
      <c r="J90" s="286"/>
      <c r="K90" s="286"/>
      <c r="L90" s="286">
        <f t="shared" si="6"/>
        <v>20402</v>
      </c>
      <c r="M90" s="286">
        <f t="shared" si="7"/>
        <v>2020</v>
      </c>
      <c r="N90" s="286"/>
      <c r="O90" s="286"/>
    </row>
    <row r="91" spans="1:15" ht="12.75">
      <c r="A91" s="113">
        <f>A92-1</f>
        <v>-3</v>
      </c>
      <c r="B91" s="113" t="s">
        <v>723</v>
      </c>
      <c r="D91" s="526">
        <f>AVERAGE(D92:D96)</f>
        <v>21148.744</v>
      </c>
      <c r="E91" s="287"/>
      <c r="F91" s="287"/>
      <c r="G91" s="286"/>
      <c r="H91" s="286"/>
      <c r="I91" s="286"/>
      <c r="J91" s="286"/>
      <c r="K91" s="286"/>
      <c r="L91" s="286">
        <f t="shared" si="6"/>
        <v>20296</v>
      </c>
      <c r="M91" s="286">
        <f t="shared" si="7"/>
        <v>2019</v>
      </c>
      <c r="N91" s="286"/>
      <c r="O91" s="286"/>
    </row>
    <row r="92" spans="1:15" ht="12.75">
      <c r="A92" s="113">
        <f>A93-1</f>
        <v>-2</v>
      </c>
      <c r="B92" s="113" t="s">
        <v>724</v>
      </c>
      <c r="D92" s="526">
        <f>AVERAGE(D93:D97)</f>
        <v>20940.120000000003</v>
      </c>
      <c r="E92" s="287"/>
      <c r="F92" s="287"/>
      <c r="G92" s="286"/>
      <c r="H92" s="286"/>
      <c r="I92" s="286"/>
      <c r="J92" s="286"/>
      <c r="K92" s="286"/>
      <c r="L92" s="286">
        <f t="shared" si="6"/>
        <v>20096</v>
      </c>
      <c r="M92" s="286">
        <f t="shared" si="7"/>
        <v>2018</v>
      </c>
      <c r="N92" s="286"/>
      <c r="O92" s="286"/>
    </row>
    <row r="93" spans="1:15" ht="12.75">
      <c r="A93" s="113">
        <f>A94-1</f>
        <v>-1</v>
      </c>
      <c r="B93" s="113" t="s">
        <v>725</v>
      </c>
      <c r="D93" s="526">
        <f>AVERAGE(D94:D98)</f>
        <v>20587.6</v>
      </c>
      <c r="E93" s="287"/>
      <c r="F93" s="287"/>
      <c r="G93" s="286"/>
      <c r="H93" s="286"/>
      <c r="I93" s="286"/>
      <c r="J93" s="286"/>
      <c r="K93" s="286"/>
      <c r="L93" s="286">
        <f t="shared" si="6"/>
        <v>19758</v>
      </c>
      <c r="M93" s="286">
        <f t="shared" si="7"/>
        <v>2017</v>
      </c>
      <c r="N93" s="286"/>
      <c r="O93" s="286"/>
    </row>
    <row r="94" spans="1:15" ht="12.75">
      <c r="A94" s="113">
        <v>0</v>
      </c>
      <c r="B94" s="113" t="s">
        <v>714</v>
      </c>
      <c r="D94" s="113">
        <f aca="true" t="shared" si="8" ref="D94:D100">ROUND(AA101*(1+AB101),0)</f>
        <v>21874</v>
      </c>
      <c r="E94" s="287"/>
      <c r="F94" s="287"/>
      <c r="G94" s="286"/>
      <c r="H94" s="286"/>
      <c r="I94" s="286"/>
      <c r="J94" s="286"/>
      <c r="K94" s="286"/>
      <c r="L94" s="286">
        <f t="shared" si="6"/>
        <v>20992</v>
      </c>
      <c r="M94" s="286">
        <f t="shared" si="7"/>
        <v>2016</v>
      </c>
      <c r="N94" s="286"/>
      <c r="O94" s="286"/>
    </row>
    <row r="95" spans="1:15" ht="12.75">
      <c r="A95" s="113">
        <f>A96-1</f>
        <v>1</v>
      </c>
      <c r="B95" s="113" t="s">
        <v>587</v>
      </c>
      <c r="D95" s="113">
        <f t="shared" si="8"/>
        <v>21746</v>
      </c>
      <c r="E95" s="287"/>
      <c r="F95" s="287"/>
      <c r="G95" s="286"/>
      <c r="H95" s="286"/>
      <c r="I95" s="286"/>
      <c r="J95" s="286"/>
      <c r="K95" s="286"/>
      <c r="L95" s="286">
        <f aca="true" t="shared" si="9" ref="L95:L100">ROUND((1+$M$120)*$D95,0)</f>
        <v>20870</v>
      </c>
      <c r="M95" s="286">
        <f t="shared" si="7"/>
        <v>2015</v>
      </c>
      <c r="N95" s="286"/>
      <c r="O95" s="286"/>
    </row>
    <row r="96" spans="1:15" ht="12.75">
      <c r="A96" s="113">
        <f>A97-1</f>
        <v>2</v>
      </c>
      <c r="B96" s="113" t="s">
        <v>586</v>
      </c>
      <c r="D96" s="113">
        <f t="shared" si="8"/>
        <v>20596</v>
      </c>
      <c r="E96" s="287"/>
      <c r="F96" s="287"/>
      <c r="G96" s="286"/>
      <c r="H96" s="286"/>
      <c r="I96" s="286"/>
      <c r="J96" s="286"/>
      <c r="K96" s="286"/>
      <c r="L96" s="286">
        <f t="shared" si="9"/>
        <v>19766</v>
      </c>
      <c r="M96" s="286">
        <f t="shared" si="7"/>
        <v>2014</v>
      </c>
      <c r="N96" s="286"/>
      <c r="O96" s="286"/>
    </row>
    <row r="97" spans="1:15" ht="12.75">
      <c r="A97" s="113">
        <f>A98-1</f>
        <v>3</v>
      </c>
      <c r="B97" s="113" t="s">
        <v>585</v>
      </c>
      <c r="D97" s="113">
        <f t="shared" si="8"/>
        <v>19897</v>
      </c>
      <c r="E97" s="287"/>
      <c r="F97" s="287"/>
      <c r="G97" s="286"/>
      <c r="H97" s="286"/>
      <c r="I97" s="286"/>
      <c r="J97" s="286"/>
      <c r="K97" s="286"/>
      <c r="L97" s="286">
        <f t="shared" si="9"/>
        <v>19095</v>
      </c>
      <c r="M97" s="286">
        <f t="shared" si="7"/>
        <v>2013</v>
      </c>
      <c r="N97" s="286"/>
      <c r="O97" s="286"/>
    </row>
    <row r="98" spans="1:15" ht="12.75">
      <c r="A98" s="113">
        <f>A99-1</f>
        <v>4</v>
      </c>
      <c r="B98" s="113" t="s">
        <v>584</v>
      </c>
      <c r="D98" s="113">
        <f t="shared" si="8"/>
        <v>18825</v>
      </c>
      <c r="E98" s="287"/>
      <c r="F98" s="287"/>
      <c r="G98" s="286"/>
      <c r="H98" s="286"/>
      <c r="I98" s="286"/>
      <c r="J98" s="286"/>
      <c r="K98" s="286"/>
      <c r="L98" s="286">
        <f t="shared" si="9"/>
        <v>18066</v>
      </c>
      <c r="M98" s="286">
        <f t="shared" si="7"/>
        <v>2012</v>
      </c>
      <c r="N98" s="286"/>
      <c r="O98" s="286"/>
    </row>
    <row r="99" spans="1:15" ht="12.75">
      <c r="A99" s="113">
        <f>A100-1</f>
        <v>5</v>
      </c>
      <c r="B99" s="113" t="s">
        <v>583</v>
      </c>
      <c r="D99" s="113">
        <f t="shared" si="8"/>
        <v>19781</v>
      </c>
      <c r="E99" s="287"/>
      <c r="F99" s="287"/>
      <c r="G99" s="286"/>
      <c r="H99" s="286"/>
      <c r="I99" s="286"/>
      <c r="J99" s="286"/>
      <c r="K99" s="286"/>
      <c r="L99" s="286">
        <f t="shared" si="9"/>
        <v>18984</v>
      </c>
      <c r="M99" s="286">
        <f t="shared" si="7"/>
        <v>2011</v>
      </c>
      <c r="N99" s="286"/>
      <c r="O99" s="286"/>
    </row>
    <row r="100" spans="1:28" ht="12.75">
      <c r="A100" s="113">
        <v>6</v>
      </c>
      <c r="B100" s="113" t="s">
        <v>582</v>
      </c>
      <c r="D100" s="113">
        <f t="shared" si="8"/>
        <v>20399</v>
      </c>
      <c r="E100" s="287"/>
      <c r="F100" s="287"/>
      <c r="G100" s="286"/>
      <c r="H100" s="286"/>
      <c r="I100" s="286"/>
      <c r="J100" s="286"/>
      <c r="K100" s="286"/>
      <c r="L100" s="286">
        <f t="shared" si="9"/>
        <v>19577</v>
      </c>
      <c r="M100" s="286">
        <f t="shared" si="7"/>
        <v>2010</v>
      </c>
      <c r="N100" s="286"/>
      <c r="O100" s="286"/>
      <c r="Z100" s="544" t="s">
        <v>578</v>
      </c>
      <c r="AA100" s="545"/>
      <c r="AB100" s="546"/>
    </row>
    <row r="101" spans="2:27" ht="12.75" customHeight="1">
      <c r="B101" s="432"/>
      <c r="C101" s="98" t="s">
        <v>140</v>
      </c>
      <c r="D101" s="341" t="s">
        <v>75</v>
      </c>
      <c r="E101" s="341" t="s">
        <v>76</v>
      </c>
      <c r="F101" s="341" t="s">
        <v>77</v>
      </c>
      <c r="G101" s="341" t="s">
        <v>78</v>
      </c>
      <c r="H101" s="347" t="s">
        <v>79</v>
      </c>
      <c r="I101" s="347" t="s">
        <v>80</v>
      </c>
      <c r="J101" s="347" t="s">
        <v>81</v>
      </c>
      <c r="K101" s="347" t="s">
        <v>82</v>
      </c>
      <c r="L101" s="347" t="s">
        <v>83</v>
      </c>
      <c r="M101" s="121" t="s">
        <v>84</v>
      </c>
      <c r="N101" s="121" t="s">
        <v>85</v>
      </c>
      <c r="O101" s="121" t="s">
        <v>86</v>
      </c>
      <c r="P101" s="341" t="s">
        <v>75</v>
      </c>
      <c r="Q101" s="341" t="s">
        <v>76</v>
      </c>
      <c r="R101" s="341" t="s">
        <v>77</v>
      </c>
      <c r="S101" s="341" t="s">
        <v>78</v>
      </c>
      <c r="T101" s="347" t="s">
        <v>79</v>
      </c>
      <c r="U101" s="347" t="s">
        <v>80</v>
      </c>
      <c r="V101" s="347" t="s">
        <v>81</v>
      </c>
      <c r="W101" s="347" t="s">
        <v>82</v>
      </c>
      <c r="X101" s="347" t="s">
        <v>83</v>
      </c>
      <c r="Z101" s="430">
        <v>2015</v>
      </c>
      <c r="AA101" s="431">
        <f>21979-105</f>
        <v>21874</v>
      </c>
    </row>
    <row r="102" spans="2:27" ht="15">
      <c r="B102" s="113" t="s">
        <v>292</v>
      </c>
      <c r="C102" s="301">
        <f aca="true" t="shared" si="10" ref="C102:O102">C24+C67</f>
        <v>213357</v>
      </c>
      <c r="D102" s="113">
        <f t="shared" si="10"/>
        <v>22299</v>
      </c>
      <c r="E102" s="113">
        <f t="shared" si="10"/>
        <v>21279</v>
      </c>
      <c r="F102" s="113">
        <f t="shared" si="10"/>
        <v>20147</v>
      </c>
      <c r="G102" s="113">
        <f t="shared" si="10"/>
        <v>19384</v>
      </c>
      <c r="H102" s="113">
        <f t="shared" si="10"/>
        <v>18442</v>
      </c>
      <c r="I102" s="113">
        <f t="shared" si="10"/>
        <v>18757</v>
      </c>
      <c r="J102" s="113">
        <f t="shared" si="10"/>
        <v>18576</v>
      </c>
      <c r="K102" s="113">
        <f t="shared" si="10"/>
        <v>18164</v>
      </c>
      <c r="L102" s="201">
        <f t="shared" si="10"/>
        <v>19073</v>
      </c>
      <c r="M102" s="131">
        <f t="shared" si="10"/>
        <v>12917</v>
      </c>
      <c r="N102" s="131">
        <f t="shared" si="10"/>
        <v>11741</v>
      </c>
      <c r="O102" s="131">
        <f t="shared" si="10"/>
        <v>12578</v>
      </c>
      <c r="P102" s="113"/>
      <c r="Q102" s="113"/>
      <c r="R102" s="113"/>
      <c r="S102" s="113"/>
      <c r="T102" s="113"/>
      <c r="U102" s="113"/>
      <c r="V102" s="113"/>
      <c r="W102" s="113"/>
      <c r="X102" s="113"/>
      <c r="Z102" s="430">
        <v>2014</v>
      </c>
      <c r="AA102" s="431">
        <v>21746</v>
      </c>
    </row>
    <row r="103" spans="2:27" ht="15">
      <c r="B103" s="113" t="s">
        <v>122</v>
      </c>
      <c r="C103" s="301">
        <f aca="true" t="shared" si="11" ref="C103:O103">C26+C69</f>
        <v>209686</v>
      </c>
      <c r="D103" s="113">
        <f t="shared" si="11"/>
        <v>21775</v>
      </c>
      <c r="E103" s="113">
        <f t="shared" si="11"/>
        <v>20203</v>
      </c>
      <c r="F103" s="113">
        <f t="shared" si="11"/>
        <v>19497</v>
      </c>
      <c r="G103" s="113">
        <f t="shared" si="11"/>
        <v>18505</v>
      </c>
      <c r="H103" s="113">
        <f t="shared" si="11"/>
        <v>18801</v>
      </c>
      <c r="I103" s="113">
        <f t="shared" si="11"/>
        <v>18522</v>
      </c>
      <c r="J103" s="113">
        <f t="shared" si="11"/>
        <v>18173</v>
      </c>
      <c r="K103" s="201">
        <f t="shared" si="11"/>
        <v>18684</v>
      </c>
      <c r="L103" s="113">
        <f t="shared" si="11"/>
        <v>18107</v>
      </c>
      <c r="M103" s="131">
        <f t="shared" si="11"/>
        <v>12420</v>
      </c>
      <c r="N103" s="131">
        <f t="shared" si="11"/>
        <v>12354</v>
      </c>
      <c r="O103" s="131">
        <f t="shared" si="11"/>
        <v>12645</v>
      </c>
      <c r="P103" s="397">
        <f aca="true" t="shared" si="12" ref="P103:P110">(D103-E102)/D103</f>
        <v>0.02277841561423651</v>
      </c>
      <c r="Q103" s="397">
        <f aca="true" t="shared" si="13" ref="Q103:Q119">(E103-F102)/E103</f>
        <v>0.002771865564520121</v>
      </c>
      <c r="R103" s="397">
        <f aca="true" t="shared" si="14" ref="R103:R119">(F103-G102)/F103</f>
        <v>0.0057957634507873005</v>
      </c>
      <c r="S103" s="397">
        <f aca="true" t="shared" si="15" ref="S103:S119">(G103-H102)/G103</f>
        <v>0.0034044852742502025</v>
      </c>
      <c r="T103" s="397">
        <f aca="true" t="shared" si="16" ref="T103:T119">(H103-I102)/H103</f>
        <v>0.0023403010478166056</v>
      </c>
      <c r="U103" s="397">
        <f aca="true" t="shared" si="17" ref="U103:U119">(I103-J102)/I103</f>
        <v>-0.0029154518950437317</v>
      </c>
      <c r="V103" s="397">
        <f aca="true" t="shared" si="18" ref="V103:V119">(J103-K102)/J103</f>
        <v>0.0004952401914928741</v>
      </c>
      <c r="W103" s="397">
        <f aca="true" t="shared" si="19" ref="W103:W119">(K103-L102)/K103</f>
        <v>-0.020819952900877757</v>
      </c>
      <c r="X103" s="397">
        <f aca="true" t="shared" si="20" ref="X103:X119">(L103-M102)/L103</f>
        <v>0.2866294803114817</v>
      </c>
      <c r="Z103" s="430">
        <v>2013</v>
      </c>
      <c r="AA103" s="431">
        <v>20596</v>
      </c>
    </row>
    <row r="104" spans="2:27" ht="15">
      <c r="B104" s="113" t="s">
        <v>123</v>
      </c>
      <c r="C104" s="301">
        <f aca="true" t="shared" si="21" ref="C104:O104">C27+C70</f>
        <v>209130</v>
      </c>
      <c r="D104" s="113">
        <f t="shared" si="21"/>
        <v>20738</v>
      </c>
      <c r="E104" s="115">
        <f t="shared" si="21"/>
        <v>19582</v>
      </c>
      <c r="F104" s="115">
        <f t="shared" si="21"/>
        <v>18699</v>
      </c>
      <c r="G104" s="114">
        <f t="shared" si="21"/>
        <v>18873</v>
      </c>
      <c r="H104" s="114">
        <f t="shared" si="21"/>
        <v>18589</v>
      </c>
      <c r="I104" s="114">
        <f t="shared" si="21"/>
        <v>18179</v>
      </c>
      <c r="J104" s="202">
        <f t="shared" si="21"/>
        <v>18755</v>
      </c>
      <c r="K104" s="114">
        <f t="shared" si="21"/>
        <v>17776</v>
      </c>
      <c r="L104" s="113">
        <f t="shared" si="21"/>
        <v>17854</v>
      </c>
      <c r="M104" s="131">
        <f t="shared" si="21"/>
        <v>13298</v>
      </c>
      <c r="N104" s="131">
        <f t="shared" si="21"/>
        <v>12562</v>
      </c>
      <c r="O104" s="131">
        <f t="shared" si="21"/>
        <v>14225</v>
      </c>
      <c r="P104" s="397">
        <f t="shared" si="12"/>
        <v>0.025798051885427716</v>
      </c>
      <c r="Q104" s="397">
        <f t="shared" si="13"/>
        <v>0.004340721070370749</v>
      </c>
      <c r="R104" s="397">
        <f t="shared" si="14"/>
        <v>0.010374886357559229</v>
      </c>
      <c r="S104" s="397">
        <f t="shared" si="15"/>
        <v>0.003814973772055317</v>
      </c>
      <c r="T104" s="397">
        <f t="shared" si="16"/>
        <v>0.0036042821023185754</v>
      </c>
      <c r="U104" s="397">
        <f t="shared" si="17"/>
        <v>0.00033005115792947905</v>
      </c>
      <c r="V104" s="397">
        <f t="shared" si="18"/>
        <v>0.0037856571580911756</v>
      </c>
      <c r="W104" s="397">
        <f t="shared" si="19"/>
        <v>-0.01862061206120612</v>
      </c>
      <c r="X104" s="397">
        <f t="shared" si="20"/>
        <v>0.30435756693178</v>
      </c>
      <c r="Z104" s="430">
        <v>2012</v>
      </c>
      <c r="AA104" s="431">
        <v>19897</v>
      </c>
    </row>
    <row r="105" spans="2:27" ht="15">
      <c r="B105" s="114" t="s">
        <v>124</v>
      </c>
      <c r="C105" s="301">
        <f aca="true" t="shared" si="22" ref="C105:O105">C28+C71</f>
        <v>212433</v>
      </c>
      <c r="D105" s="113">
        <f t="shared" si="22"/>
        <v>20168</v>
      </c>
      <c r="E105" s="113">
        <f t="shared" si="22"/>
        <v>18876</v>
      </c>
      <c r="F105" s="113">
        <f t="shared" si="22"/>
        <v>19120</v>
      </c>
      <c r="G105" s="114">
        <f t="shared" si="22"/>
        <v>18761</v>
      </c>
      <c r="H105" s="114">
        <f t="shared" si="22"/>
        <v>18308</v>
      </c>
      <c r="I105" s="202">
        <f t="shared" si="22"/>
        <v>18856</v>
      </c>
      <c r="J105" s="114">
        <f t="shared" si="22"/>
        <v>17849</v>
      </c>
      <c r="K105" s="114">
        <f t="shared" si="22"/>
        <v>17445</v>
      </c>
      <c r="L105" s="114">
        <f t="shared" si="22"/>
        <v>19587</v>
      </c>
      <c r="M105" s="132">
        <f t="shared" si="22"/>
        <v>13774</v>
      </c>
      <c r="N105" s="132">
        <f t="shared" si="22"/>
        <v>14225</v>
      </c>
      <c r="O105" s="132">
        <f t="shared" si="22"/>
        <v>15464</v>
      </c>
      <c r="P105" s="397">
        <f t="shared" si="12"/>
        <v>0.029055930186433956</v>
      </c>
      <c r="Q105" s="397">
        <f t="shared" si="13"/>
        <v>0.009376986649713922</v>
      </c>
      <c r="R105" s="397">
        <f t="shared" si="14"/>
        <v>0.012918410041841005</v>
      </c>
      <c r="S105" s="397">
        <f t="shared" si="15"/>
        <v>0.009167954799850754</v>
      </c>
      <c r="T105" s="397">
        <f t="shared" si="16"/>
        <v>0.007046100065545117</v>
      </c>
      <c r="U105" s="397">
        <f t="shared" si="17"/>
        <v>0.005356385235468816</v>
      </c>
      <c r="V105" s="397">
        <f t="shared" si="18"/>
        <v>0.0040898649784301645</v>
      </c>
      <c r="W105" s="397">
        <f t="shared" si="19"/>
        <v>-0.023445113212955</v>
      </c>
      <c r="X105" s="397">
        <f t="shared" si="20"/>
        <v>0.32108030836779494</v>
      </c>
      <c r="Z105" s="430">
        <v>2011</v>
      </c>
      <c r="AA105" s="431">
        <v>18825</v>
      </c>
    </row>
    <row r="106" spans="2:27" ht="15">
      <c r="B106" s="116" t="s">
        <v>125</v>
      </c>
      <c r="C106" s="301">
        <f aca="true" t="shared" si="23" ref="C106:O106">C29+C72</f>
        <v>218442</v>
      </c>
      <c r="D106" s="113">
        <f t="shared" si="23"/>
        <v>19493</v>
      </c>
      <c r="E106" s="113">
        <f t="shared" si="23"/>
        <v>19401</v>
      </c>
      <c r="F106" s="113">
        <f t="shared" si="23"/>
        <v>19063</v>
      </c>
      <c r="G106" s="114">
        <f t="shared" si="23"/>
        <v>18519</v>
      </c>
      <c r="H106" s="202">
        <f t="shared" si="23"/>
        <v>18997</v>
      </c>
      <c r="I106" s="114">
        <f t="shared" si="23"/>
        <v>17989</v>
      </c>
      <c r="J106" s="114">
        <f t="shared" si="23"/>
        <v>17601</v>
      </c>
      <c r="K106" s="114">
        <f t="shared" si="23"/>
        <v>18436</v>
      </c>
      <c r="L106" s="114">
        <f t="shared" si="23"/>
        <v>20426</v>
      </c>
      <c r="M106" s="132">
        <f t="shared" si="23"/>
        <v>15205</v>
      </c>
      <c r="N106" s="132">
        <f t="shared" si="23"/>
        <v>15701</v>
      </c>
      <c r="O106" s="132">
        <f t="shared" si="23"/>
        <v>17611</v>
      </c>
      <c r="P106" s="397">
        <f t="shared" si="12"/>
        <v>0.031652388036731136</v>
      </c>
      <c r="Q106" s="397">
        <f t="shared" si="13"/>
        <v>0.014483789495386836</v>
      </c>
      <c r="R106" s="397">
        <f t="shared" si="14"/>
        <v>0.01584220741751036</v>
      </c>
      <c r="S106" s="397">
        <f t="shared" si="15"/>
        <v>0.011393703763702143</v>
      </c>
      <c r="T106" s="397">
        <f t="shared" si="16"/>
        <v>0.007422224561772912</v>
      </c>
      <c r="U106" s="397">
        <f t="shared" si="17"/>
        <v>0.007782533770637612</v>
      </c>
      <c r="V106" s="397">
        <f t="shared" si="18"/>
        <v>0.008863132776546788</v>
      </c>
      <c r="W106" s="397">
        <f t="shared" si="19"/>
        <v>-0.06243219787372532</v>
      </c>
      <c r="X106" s="397">
        <f t="shared" si="20"/>
        <v>0.3256633702144326</v>
      </c>
      <c r="Z106" s="430">
        <v>2010</v>
      </c>
      <c r="AA106" s="431">
        <v>19781</v>
      </c>
    </row>
    <row r="107" spans="2:28" ht="15">
      <c r="B107" s="116" t="s">
        <v>126</v>
      </c>
      <c r="C107" s="301">
        <f aca="true" t="shared" si="24" ref="C107:O107">C30+C73</f>
        <v>229039</v>
      </c>
      <c r="D107" s="113">
        <f t="shared" si="24"/>
        <v>20273</v>
      </c>
      <c r="E107" s="113">
        <f t="shared" si="24"/>
        <v>19410</v>
      </c>
      <c r="F107" s="113">
        <f t="shared" si="24"/>
        <v>18834</v>
      </c>
      <c r="G107" s="202">
        <f t="shared" si="24"/>
        <v>19302</v>
      </c>
      <c r="H107" s="114">
        <f t="shared" si="24"/>
        <v>18268</v>
      </c>
      <c r="I107" s="114">
        <f t="shared" si="24"/>
        <v>17642</v>
      </c>
      <c r="J107" s="114">
        <f t="shared" si="24"/>
        <v>18620</v>
      </c>
      <c r="K107" s="114">
        <f t="shared" si="24"/>
        <v>19532</v>
      </c>
      <c r="L107" s="114">
        <f t="shared" si="24"/>
        <v>22836</v>
      </c>
      <c r="M107" s="132">
        <f t="shared" si="24"/>
        <v>16703</v>
      </c>
      <c r="N107" s="132">
        <f t="shared" si="24"/>
        <v>18361</v>
      </c>
      <c r="O107" s="132">
        <f t="shared" si="24"/>
        <v>19258</v>
      </c>
      <c r="P107" s="397">
        <f t="shared" si="12"/>
        <v>0.043012874266265474</v>
      </c>
      <c r="Q107" s="397">
        <f t="shared" si="13"/>
        <v>0.017877382792375066</v>
      </c>
      <c r="R107" s="397">
        <f t="shared" si="14"/>
        <v>0.016725071678878625</v>
      </c>
      <c r="S107" s="397">
        <f t="shared" si="15"/>
        <v>0.01580147135011916</v>
      </c>
      <c r="T107" s="397">
        <f t="shared" si="16"/>
        <v>0.01527260783884388</v>
      </c>
      <c r="U107" s="397">
        <f t="shared" si="17"/>
        <v>0.0023239995465366738</v>
      </c>
      <c r="V107" s="397">
        <f t="shared" si="18"/>
        <v>0.009881847475832439</v>
      </c>
      <c r="W107" s="397">
        <f t="shared" si="19"/>
        <v>-0.04577104239197215</v>
      </c>
      <c r="X107" s="397">
        <f t="shared" si="20"/>
        <v>0.33416535295148014</v>
      </c>
      <c r="Z107" s="430">
        <v>2009</v>
      </c>
      <c r="AA107" s="431">
        <v>22044</v>
      </c>
      <c r="AB107" s="400">
        <f>(SUM(D102:D107)-SUM(AA109:AA114))/SUM(AA109:AA114)</f>
        <v>-0.07463262293501079</v>
      </c>
    </row>
    <row r="108" spans="2:28" ht="12.75">
      <c r="B108" s="116" t="s">
        <v>127</v>
      </c>
      <c r="C108" s="301">
        <f aca="true" t="shared" si="25" ref="C108:O108">C31+C74</f>
        <v>239845</v>
      </c>
      <c r="D108" s="113">
        <f t="shared" si="25"/>
        <v>20170</v>
      </c>
      <c r="E108" s="113">
        <f t="shared" si="25"/>
        <v>19143</v>
      </c>
      <c r="F108" s="202">
        <f t="shared" si="25"/>
        <v>19542</v>
      </c>
      <c r="G108" s="114">
        <f t="shared" si="25"/>
        <v>18454</v>
      </c>
      <c r="H108" s="114">
        <f t="shared" si="25"/>
        <v>17753</v>
      </c>
      <c r="I108" s="114">
        <f t="shared" si="25"/>
        <v>18691</v>
      </c>
      <c r="J108" s="114">
        <f t="shared" si="25"/>
        <v>19760</v>
      </c>
      <c r="K108" s="114">
        <f t="shared" si="25"/>
        <v>21987</v>
      </c>
      <c r="L108" s="114">
        <f t="shared" si="25"/>
        <v>23870</v>
      </c>
      <c r="M108" s="132">
        <f t="shared" si="25"/>
        <v>20152</v>
      </c>
      <c r="N108" s="132">
        <f t="shared" si="25"/>
        <v>20143</v>
      </c>
      <c r="O108" s="132">
        <f t="shared" si="25"/>
        <v>20180</v>
      </c>
      <c r="P108" s="397">
        <f t="shared" si="12"/>
        <v>0.03767972235994051</v>
      </c>
      <c r="Q108" s="397">
        <f t="shared" si="13"/>
        <v>0.016141670584547876</v>
      </c>
      <c r="R108" s="397">
        <f t="shared" si="14"/>
        <v>0.012281240405280933</v>
      </c>
      <c r="S108" s="397">
        <f t="shared" si="15"/>
        <v>0.010079115638885878</v>
      </c>
      <c r="T108" s="397">
        <f t="shared" si="16"/>
        <v>0.00625246437221878</v>
      </c>
      <c r="U108" s="397">
        <f t="shared" si="17"/>
        <v>0.00379861965651918</v>
      </c>
      <c r="V108" s="397">
        <f t="shared" si="18"/>
        <v>0.011538461538461539</v>
      </c>
      <c r="W108" s="397">
        <f t="shared" si="19"/>
        <v>-0.03861372629280939</v>
      </c>
      <c r="X108" s="397">
        <f t="shared" si="20"/>
        <v>0.30025136154168414</v>
      </c>
      <c r="Z108" s="544" t="s">
        <v>588</v>
      </c>
      <c r="AA108" s="545"/>
      <c r="AB108" s="546"/>
    </row>
    <row r="109" spans="2:28" ht="15">
      <c r="B109" s="116" t="s">
        <v>128</v>
      </c>
      <c r="C109" s="301">
        <f aca="true" t="shared" si="26" ref="C109:O109">C32+C75</f>
        <v>249446</v>
      </c>
      <c r="D109" s="113">
        <f t="shared" si="26"/>
        <v>19821</v>
      </c>
      <c r="E109" s="202">
        <f t="shared" si="26"/>
        <v>19719</v>
      </c>
      <c r="F109" s="113">
        <f t="shared" si="26"/>
        <v>18585</v>
      </c>
      <c r="G109" s="114">
        <f t="shared" si="26"/>
        <v>17818</v>
      </c>
      <c r="H109" s="114">
        <f t="shared" si="26"/>
        <v>18636</v>
      </c>
      <c r="I109" s="114">
        <f t="shared" si="26"/>
        <v>19733</v>
      </c>
      <c r="J109" s="114">
        <f t="shared" si="26"/>
        <v>22036</v>
      </c>
      <c r="K109" s="114">
        <f t="shared" si="26"/>
        <v>24117</v>
      </c>
      <c r="L109" s="114">
        <f t="shared" si="26"/>
        <v>26816</v>
      </c>
      <c r="M109" s="132">
        <f t="shared" si="26"/>
        <v>20856</v>
      </c>
      <c r="N109" s="132">
        <f t="shared" si="26"/>
        <v>20143</v>
      </c>
      <c r="O109" s="132">
        <f t="shared" si="26"/>
        <v>21166</v>
      </c>
      <c r="P109" s="397">
        <f t="shared" si="12"/>
        <v>0.03420614499772968</v>
      </c>
      <c r="Q109" s="397">
        <f t="shared" si="13"/>
        <v>0.008976114407424312</v>
      </c>
      <c r="R109" s="397">
        <f t="shared" si="14"/>
        <v>0.007048695184288405</v>
      </c>
      <c r="S109" s="397">
        <f t="shared" si="15"/>
        <v>0.0036479964081266134</v>
      </c>
      <c r="T109" s="397">
        <f t="shared" si="16"/>
        <v>-0.0029512770980897186</v>
      </c>
      <c r="U109" s="397">
        <f t="shared" si="17"/>
        <v>-0.0013682663558506056</v>
      </c>
      <c r="V109" s="397">
        <f t="shared" si="18"/>
        <v>0.0022236340533672173</v>
      </c>
      <c r="W109" s="397">
        <f t="shared" si="19"/>
        <v>0.01024173819297591</v>
      </c>
      <c r="X109" s="397">
        <f t="shared" si="20"/>
        <v>0.24850835322195705</v>
      </c>
      <c r="Z109" s="430">
        <v>2008</v>
      </c>
      <c r="AA109" s="431">
        <v>24397</v>
      </c>
      <c r="AB109" s="203"/>
    </row>
    <row r="110" spans="2:28" ht="15">
      <c r="B110" s="116" t="s">
        <v>129</v>
      </c>
      <c r="C110" s="301">
        <f aca="true" t="shared" si="27" ref="C110:O110">C33+C76</f>
        <v>263944</v>
      </c>
      <c r="D110" s="202">
        <f t="shared" si="27"/>
        <v>20472</v>
      </c>
      <c r="E110" s="113">
        <f t="shared" si="27"/>
        <v>18684</v>
      </c>
      <c r="F110" s="113">
        <f t="shared" si="27"/>
        <v>17885</v>
      </c>
      <c r="G110" s="114">
        <f t="shared" si="27"/>
        <v>18577</v>
      </c>
      <c r="H110" s="114">
        <f t="shared" si="27"/>
        <v>19547</v>
      </c>
      <c r="I110" s="114">
        <f t="shared" si="27"/>
        <v>21964</v>
      </c>
      <c r="J110" s="114">
        <f t="shared" si="27"/>
        <v>24155</v>
      </c>
      <c r="K110" s="114">
        <f t="shared" si="27"/>
        <v>27494</v>
      </c>
      <c r="L110" s="114">
        <f t="shared" si="27"/>
        <v>30146</v>
      </c>
      <c r="M110" s="132">
        <f t="shared" si="27"/>
        <v>21552</v>
      </c>
      <c r="N110" s="132">
        <f t="shared" si="27"/>
        <v>21821</v>
      </c>
      <c r="O110" s="132">
        <f t="shared" si="27"/>
        <v>21647</v>
      </c>
      <c r="P110" s="397">
        <f t="shared" si="12"/>
        <v>0.036781946072684646</v>
      </c>
      <c r="Q110" s="397">
        <f t="shared" si="13"/>
        <v>0.0052986512524084775</v>
      </c>
      <c r="R110" s="397">
        <f t="shared" si="14"/>
        <v>0.0037461559966452335</v>
      </c>
      <c r="S110" s="397">
        <f t="shared" si="15"/>
        <v>-0.0031759702858373258</v>
      </c>
      <c r="T110" s="397">
        <f t="shared" si="16"/>
        <v>-0.009515526679285824</v>
      </c>
      <c r="U110" s="397">
        <f t="shared" si="17"/>
        <v>-0.003278091422327445</v>
      </c>
      <c r="V110" s="397">
        <f t="shared" si="18"/>
        <v>0.001573173256054647</v>
      </c>
      <c r="W110" s="397">
        <f t="shared" si="19"/>
        <v>0.024659925801993162</v>
      </c>
      <c r="X110" s="397">
        <f t="shared" si="20"/>
        <v>0.3081669209845419</v>
      </c>
      <c r="Z110" s="430">
        <v>2007</v>
      </c>
      <c r="AA110" s="431">
        <v>23958</v>
      </c>
      <c r="AB110" s="203"/>
    </row>
    <row r="111" spans="2:28" ht="15">
      <c r="B111" s="116" t="s">
        <v>130</v>
      </c>
      <c r="C111" s="301">
        <f aca="true" t="shared" si="28" ref="C111:O111">C34+C77</f>
        <v>279872</v>
      </c>
      <c r="D111" s="113">
        <f t="shared" si="28"/>
        <v>19597</v>
      </c>
      <c r="E111" s="113">
        <f t="shared" si="28"/>
        <v>18005</v>
      </c>
      <c r="F111" s="113">
        <f t="shared" si="28"/>
        <v>18640</v>
      </c>
      <c r="G111" s="114">
        <f t="shared" si="28"/>
        <v>19462</v>
      </c>
      <c r="H111" s="114">
        <f t="shared" si="28"/>
        <v>21658</v>
      </c>
      <c r="I111" s="114">
        <f t="shared" si="28"/>
        <v>23983</v>
      </c>
      <c r="J111" s="114">
        <f t="shared" si="28"/>
        <v>27256</v>
      </c>
      <c r="K111" s="114">
        <f t="shared" si="28"/>
        <v>31130</v>
      </c>
      <c r="L111" s="398">
        <f t="shared" si="28"/>
        <v>31824</v>
      </c>
      <c r="M111" s="132">
        <f t="shared" si="28"/>
        <v>23755</v>
      </c>
      <c r="N111" s="132">
        <f t="shared" si="28"/>
        <v>22631</v>
      </c>
      <c r="O111" s="132">
        <f t="shared" si="28"/>
        <v>21931</v>
      </c>
      <c r="P111" s="397">
        <f>(D111-E110)/D111</f>
        <v>0.0465887635862632</v>
      </c>
      <c r="Q111" s="397">
        <f t="shared" si="13"/>
        <v>0.006664815329075257</v>
      </c>
      <c r="R111" s="397">
        <f t="shared" si="14"/>
        <v>0.0033798283261802574</v>
      </c>
      <c r="S111" s="397">
        <f t="shared" si="15"/>
        <v>-0.004367485356078512</v>
      </c>
      <c r="T111" s="397">
        <f t="shared" si="16"/>
        <v>-0.0141287284144427</v>
      </c>
      <c r="U111" s="397">
        <f t="shared" si="17"/>
        <v>-0.007171746653879832</v>
      </c>
      <c r="V111" s="397">
        <f t="shared" si="18"/>
        <v>-0.00873202230701497</v>
      </c>
      <c r="W111" s="397">
        <f t="shared" si="19"/>
        <v>0.03160938001927401</v>
      </c>
      <c r="X111" s="397">
        <f t="shared" si="20"/>
        <v>0.32277526395173456</v>
      </c>
      <c r="Z111" s="430">
        <v>2006</v>
      </c>
      <c r="AA111" s="431">
        <v>22871</v>
      </c>
      <c r="AB111" s="203"/>
    </row>
    <row r="112" spans="2:28" ht="15">
      <c r="B112" s="116" t="s">
        <v>131</v>
      </c>
      <c r="C112" s="301">
        <f aca="true" t="shared" si="29" ref="C112:O112">C35+C78</f>
        <v>298516</v>
      </c>
      <c r="D112" s="113">
        <f t="shared" si="29"/>
        <v>18904</v>
      </c>
      <c r="E112" s="113">
        <f t="shared" si="29"/>
        <v>18732</v>
      </c>
      <c r="F112" s="113">
        <f t="shared" si="29"/>
        <v>19551</v>
      </c>
      <c r="G112" s="114">
        <f t="shared" si="29"/>
        <v>21609</v>
      </c>
      <c r="H112" s="114">
        <f t="shared" si="29"/>
        <v>23638</v>
      </c>
      <c r="I112" s="114">
        <f t="shared" si="29"/>
        <v>26934</v>
      </c>
      <c r="J112" s="114">
        <f t="shared" si="29"/>
        <v>31080</v>
      </c>
      <c r="K112" s="398">
        <f t="shared" si="29"/>
        <v>32578</v>
      </c>
      <c r="L112" s="114">
        <f t="shared" si="29"/>
        <v>34715</v>
      </c>
      <c r="M112" s="132">
        <f t="shared" si="29"/>
        <v>24596</v>
      </c>
      <c r="N112" s="132">
        <f t="shared" si="29"/>
        <v>23460</v>
      </c>
      <c r="O112" s="132">
        <f t="shared" si="29"/>
        <v>22719</v>
      </c>
      <c r="P112" s="397">
        <f aca="true" t="shared" si="30" ref="P112:P119">(D112-E111)/D112</f>
        <v>0.04755607278882776</v>
      </c>
      <c r="Q112" s="397">
        <f t="shared" si="13"/>
        <v>0.0049113815929959425</v>
      </c>
      <c r="R112" s="397">
        <f t="shared" si="14"/>
        <v>0.004552196818577055</v>
      </c>
      <c r="S112" s="397">
        <f t="shared" si="15"/>
        <v>-0.0022675736961451248</v>
      </c>
      <c r="T112" s="397">
        <f t="shared" si="16"/>
        <v>-0.01459514341314832</v>
      </c>
      <c r="U112" s="397">
        <f t="shared" si="17"/>
        <v>-0.011955149625009282</v>
      </c>
      <c r="V112" s="397">
        <f t="shared" si="18"/>
        <v>-0.0016087516087516086</v>
      </c>
      <c r="W112" s="397">
        <f t="shared" si="19"/>
        <v>0.02314445331205108</v>
      </c>
      <c r="X112" s="397">
        <f t="shared" si="20"/>
        <v>0.31571366844303617</v>
      </c>
      <c r="Z112" s="430">
        <v>2005</v>
      </c>
      <c r="AA112" s="431">
        <v>21879</v>
      </c>
      <c r="AB112" s="203"/>
    </row>
    <row r="113" spans="2:28" ht="15">
      <c r="B113" s="116" t="s">
        <v>132</v>
      </c>
      <c r="C113" s="301">
        <f aca="true" t="shared" si="31" ref="C113:O113">C36+C79</f>
        <v>315633</v>
      </c>
      <c r="D113" s="113">
        <f t="shared" si="31"/>
        <v>19539</v>
      </c>
      <c r="E113" s="113">
        <f t="shared" si="31"/>
        <v>19622</v>
      </c>
      <c r="F113" s="113">
        <f t="shared" si="31"/>
        <v>21487</v>
      </c>
      <c r="G113" s="114">
        <f t="shared" si="31"/>
        <v>23721</v>
      </c>
      <c r="H113" s="114">
        <f t="shared" si="31"/>
        <v>26784</v>
      </c>
      <c r="I113" s="114">
        <f t="shared" si="31"/>
        <v>30685</v>
      </c>
      <c r="J113" s="398">
        <f t="shared" si="31"/>
        <v>32504</v>
      </c>
      <c r="K113" s="114">
        <f t="shared" si="31"/>
        <v>35027</v>
      </c>
      <c r="L113" s="114">
        <f t="shared" si="31"/>
        <v>35580</v>
      </c>
      <c r="M113" s="132">
        <f t="shared" si="31"/>
        <v>24916</v>
      </c>
      <c r="N113" s="132">
        <f t="shared" si="31"/>
        <v>24288</v>
      </c>
      <c r="O113" s="132">
        <f t="shared" si="31"/>
        <v>21480</v>
      </c>
      <c r="P113" s="397">
        <f t="shared" si="30"/>
        <v>0.0413020113618916</v>
      </c>
      <c r="Q113" s="397">
        <f t="shared" si="13"/>
        <v>0.0036183875242075223</v>
      </c>
      <c r="R113" s="397">
        <f t="shared" si="14"/>
        <v>-0.005677851724298413</v>
      </c>
      <c r="S113" s="397">
        <f t="shared" si="15"/>
        <v>0.0034990093166392647</v>
      </c>
      <c r="T113" s="397">
        <f t="shared" si="16"/>
        <v>-0.005600358422939068</v>
      </c>
      <c r="U113" s="397">
        <f t="shared" si="17"/>
        <v>-0.012872739123350171</v>
      </c>
      <c r="V113" s="397">
        <f t="shared" si="18"/>
        <v>-0.002276642874723111</v>
      </c>
      <c r="W113" s="397">
        <f t="shared" si="19"/>
        <v>0.008907414280412253</v>
      </c>
      <c r="X113" s="397">
        <f t="shared" si="20"/>
        <v>0.30871275997751546</v>
      </c>
      <c r="Z113" s="430">
        <v>2004</v>
      </c>
      <c r="AA113" s="431">
        <v>20551</v>
      </c>
      <c r="AB113" s="203"/>
    </row>
    <row r="114" spans="2:28" ht="15">
      <c r="B114" s="116" t="s">
        <v>133</v>
      </c>
      <c r="C114" s="301">
        <f aca="true" t="shared" si="32" ref="C114:O114">C37+C80</f>
        <v>327358</v>
      </c>
      <c r="D114" s="113">
        <f t="shared" si="32"/>
        <v>20521</v>
      </c>
      <c r="E114" s="113">
        <f t="shared" si="32"/>
        <v>21491</v>
      </c>
      <c r="F114" s="113">
        <f t="shared" si="32"/>
        <v>23694</v>
      </c>
      <c r="G114" s="114">
        <f t="shared" si="32"/>
        <v>26747</v>
      </c>
      <c r="H114" s="114">
        <f t="shared" si="32"/>
        <v>30460</v>
      </c>
      <c r="I114" s="398">
        <f t="shared" si="32"/>
        <v>32045</v>
      </c>
      <c r="J114" s="114">
        <f t="shared" si="32"/>
        <v>34884</v>
      </c>
      <c r="K114" s="114">
        <f t="shared" si="32"/>
        <v>35494</v>
      </c>
      <c r="L114" s="114">
        <f t="shared" si="32"/>
        <v>35276</v>
      </c>
      <c r="M114" s="132">
        <f t="shared" si="32"/>
        <v>25755</v>
      </c>
      <c r="N114" s="132">
        <f t="shared" si="32"/>
        <v>22712</v>
      </c>
      <c r="O114" s="132">
        <f t="shared" si="32"/>
        <v>18279</v>
      </c>
      <c r="P114" s="397">
        <f t="shared" si="30"/>
        <v>0.04380878124847717</v>
      </c>
      <c r="Q114" s="397">
        <f t="shared" si="13"/>
        <v>0.0001861244241775627</v>
      </c>
      <c r="R114" s="397">
        <f t="shared" si="14"/>
        <v>-0.001139528994682198</v>
      </c>
      <c r="S114" s="397">
        <f t="shared" si="15"/>
        <v>-0.0013833327102104908</v>
      </c>
      <c r="T114" s="397">
        <f t="shared" si="16"/>
        <v>-0.007386736703873933</v>
      </c>
      <c r="U114" s="397">
        <f t="shared" si="17"/>
        <v>-0.014323607427055704</v>
      </c>
      <c r="V114" s="397">
        <f t="shared" si="18"/>
        <v>-0.004099300538929022</v>
      </c>
      <c r="W114" s="397">
        <f t="shared" si="19"/>
        <v>-0.0024229447230517836</v>
      </c>
      <c r="X114" s="397">
        <f t="shared" si="20"/>
        <v>0.29368409116679894</v>
      </c>
      <c r="Z114" s="430">
        <v>2003</v>
      </c>
      <c r="AA114" s="431">
        <v>21151</v>
      </c>
      <c r="AB114" s="203"/>
    </row>
    <row r="115" spans="2:28" ht="15">
      <c r="B115" s="116" t="s">
        <v>134</v>
      </c>
      <c r="C115" s="301">
        <f aca="true" t="shared" si="33" ref="C115:O115">C38+C81</f>
        <v>340308</v>
      </c>
      <c r="D115" s="113">
        <f t="shared" si="33"/>
        <v>22427</v>
      </c>
      <c r="E115" s="113">
        <f t="shared" si="33"/>
        <v>23756</v>
      </c>
      <c r="F115" s="113">
        <f t="shared" si="33"/>
        <v>26682</v>
      </c>
      <c r="G115" s="114">
        <f t="shared" si="33"/>
        <v>30494</v>
      </c>
      <c r="H115" s="398">
        <f t="shared" si="33"/>
        <v>31775</v>
      </c>
      <c r="I115" s="114">
        <f t="shared" si="33"/>
        <v>34653</v>
      </c>
      <c r="J115" s="114">
        <f t="shared" si="33"/>
        <v>35477</v>
      </c>
      <c r="K115" s="114">
        <f t="shared" si="33"/>
        <v>36106</v>
      </c>
      <c r="L115" s="114">
        <f t="shared" si="33"/>
        <v>36595</v>
      </c>
      <c r="M115" s="132">
        <f t="shared" si="33"/>
        <v>23972</v>
      </c>
      <c r="N115" s="132">
        <f t="shared" si="33"/>
        <v>19473</v>
      </c>
      <c r="O115" s="132">
        <f t="shared" si="33"/>
        <v>18898</v>
      </c>
      <c r="P115" s="397">
        <f t="shared" si="30"/>
        <v>0.041735408213314305</v>
      </c>
      <c r="Q115" s="397">
        <f t="shared" si="13"/>
        <v>0.0026098669809732277</v>
      </c>
      <c r="R115" s="397">
        <f t="shared" si="14"/>
        <v>-0.0024360992429353122</v>
      </c>
      <c r="S115" s="397">
        <f t="shared" si="15"/>
        <v>0.0011149734373975208</v>
      </c>
      <c r="T115" s="397">
        <f t="shared" si="16"/>
        <v>-0.008497246262785208</v>
      </c>
      <c r="U115" s="397">
        <f t="shared" si="17"/>
        <v>-0.006666089516059215</v>
      </c>
      <c r="V115" s="397">
        <f t="shared" si="18"/>
        <v>-0.0004791836964794092</v>
      </c>
      <c r="W115" s="397">
        <f t="shared" si="19"/>
        <v>0.022987869052235085</v>
      </c>
      <c r="X115" s="397">
        <f t="shared" si="20"/>
        <v>0.29621532996310973</v>
      </c>
      <c r="Z115" s="430"/>
      <c r="AA115" s="431"/>
      <c r="AB115" s="203"/>
    </row>
    <row r="116" spans="2:28" ht="15">
      <c r="B116" s="116" t="s">
        <v>135</v>
      </c>
      <c r="C116" s="301">
        <f aca="true" t="shared" si="34" ref="C116:O116">C39+C82</f>
        <v>351989</v>
      </c>
      <c r="D116" s="113">
        <f t="shared" si="34"/>
        <v>24724</v>
      </c>
      <c r="E116" s="113">
        <f t="shared" si="34"/>
        <v>26800</v>
      </c>
      <c r="F116" s="113">
        <f t="shared" si="34"/>
        <v>30528</v>
      </c>
      <c r="G116" s="398">
        <f t="shared" si="34"/>
        <v>31871</v>
      </c>
      <c r="H116" s="114">
        <f t="shared" si="34"/>
        <v>34683</v>
      </c>
      <c r="I116" s="114">
        <f t="shared" si="34"/>
        <v>35553</v>
      </c>
      <c r="J116" s="114">
        <f t="shared" si="34"/>
        <v>36183</v>
      </c>
      <c r="K116" s="114">
        <f t="shared" si="34"/>
        <v>36660</v>
      </c>
      <c r="L116" s="114">
        <f t="shared" si="34"/>
        <v>33753</v>
      </c>
      <c r="M116" s="132">
        <f t="shared" si="34"/>
        <v>20149</v>
      </c>
      <c r="N116" s="132">
        <f t="shared" si="34"/>
        <v>19316</v>
      </c>
      <c r="O116" s="132">
        <f t="shared" si="34"/>
        <v>21769</v>
      </c>
      <c r="P116" s="397">
        <f t="shared" si="30"/>
        <v>0.039152240737744703</v>
      </c>
      <c r="Q116" s="397">
        <f t="shared" si="13"/>
        <v>0.004402985074626865</v>
      </c>
      <c r="R116" s="397">
        <f t="shared" si="14"/>
        <v>0.0011137316561844863</v>
      </c>
      <c r="S116" s="397">
        <f t="shared" si="15"/>
        <v>0.003012142700260425</v>
      </c>
      <c r="T116" s="397">
        <f t="shared" si="16"/>
        <v>0.0008649770781074302</v>
      </c>
      <c r="U116" s="397">
        <f t="shared" si="17"/>
        <v>0.002137653643855652</v>
      </c>
      <c r="V116" s="397">
        <f t="shared" si="18"/>
        <v>0.0021280711936544788</v>
      </c>
      <c r="W116" s="397">
        <f t="shared" si="19"/>
        <v>0.0017730496453900709</v>
      </c>
      <c r="X116" s="397">
        <f t="shared" si="20"/>
        <v>0.289781649038604</v>
      </c>
      <c r="Z116" s="430"/>
      <c r="AA116" s="431"/>
      <c r="AB116" s="203"/>
    </row>
    <row r="117" spans="2:28" ht="15">
      <c r="B117" s="116" t="s">
        <v>136</v>
      </c>
      <c r="C117" s="301">
        <f aca="true" t="shared" si="35" ref="C117:O117">C40+C83</f>
        <v>359818</v>
      </c>
      <c r="D117" s="113">
        <f t="shared" si="35"/>
        <v>28079</v>
      </c>
      <c r="E117" s="113">
        <f t="shared" si="35"/>
        <v>30675</v>
      </c>
      <c r="F117" s="398">
        <f t="shared" si="35"/>
        <v>32061</v>
      </c>
      <c r="G117" s="114">
        <f t="shared" si="35"/>
        <v>34819</v>
      </c>
      <c r="H117" s="114">
        <f t="shared" si="35"/>
        <v>35566</v>
      </c>
      <c r="I117" s="114">
        <f t="shared" si="35"/>
        <v>36215</v>
      </c>
      <c r="J117" s="114">
        <f t="shared" si="35"/>
        <v>36728</v>
      </c>
      <c r="K117" s="114">
        <f t="shared" si="35"/>
        <v>33683</v>
      </c>
      <c r="L117" s="114">
        <f t="shared" si="35"/>
        <v>28761</v>
      </c>
      <c r="M117" s="132">
        <f t="shared" si="35"/>
        <v>20246</v>
      </c>
      <c r="N117" s="132">
        <f t="shared" si="35"/>
        <v>21905</v>
      </c>
      <c r="O117" s="132">
        <f t="shared" si="35"/>
        <v>21080</v>
      </c>
      <c r="P117" s="397">
        <f t="shared" si="30"/>
        <v>0.04555005520139606</v>
      </c>
      <c r="Q117" s="397">
        <f t="shared" si="13"/>
        <v>0.004792176039119804</v>
      </c>
      <c r="R117" s="397">
        <f t="shared" si="14"/>
        <v>0.00592620317519728</v>
      </c>
      <c r="S117" s="397">
        <f t="shared" si="15"/>
        <v>0.0039059134380654242</v>
      </c>
      <c r="T117" s="397">
        <f t="shared" si="16"/>
        <v>0.0003655176291964236</v>
      </c>
      <c r="U117" s="397">
        <f t="shared" si="17"/>
        <v>0.000883611763081596</v>
      </c>
      <c r="V117" s="397">
        <f t="shared" si="18"/>
        <v>0.0018514484861685907</v>
      </c>
      <c r="W117" s="397">
        <f t="shared" si="19"/>
        <v>-0.0020781996853011906</v>
      </c>
      <c r="X117" s="397">
        <f t="shared" si="20"/>
        <v>0.29943326031779144</v>
      </c>
      <c r="Z117" s="430"/>
      <c r="AA117" s="431"/>
      <c r="AB117" s="203"/>
    </row>
    <row r="118" spans="2:28" ht="15">
      <c r="B118" s="116" t="s">
        <v>137</v>
      </c>
      <c r="C118" s="301">
        <f aca="true" t="shared" si="36" ref="C118:O118">C41+C84</f>
        <v>361432</v>
      </c>
      <c r="D118" s="113">
        <f t="shared" si="36"/>
        <v>32161</v>
      </c>
      <c r="E118" s="398">
        <f t="shared" si="36"/>
        <v>32042</v>
      </c>
      <c r="F118" s="113">
        <f t="shared" si="36"/>
        <v>34941</v>
      </c>
      <c r="G118" s="114">
        <f t="shared" si="36"/>
        <v>35775</v>
      </c>
      <c r="H118" s="114">
        <f t="shared" si="36"/>
        <v>36285</v>
      </c>
      <c r="I118" s="114">
        <f t="shared" si="36"/>
        <v>36790</v>
      </c>
      <c r="J118" s="114">
        <f t="shared" si="36"/>
        <v>33833</v>
      </c>
      <c r="K118" s="114">
        <f t="shared" si="36"/>
        <v>28376</v>
      </c>
      <c r="L118" s="114">
        <f t="shared" si="36"/>
        <v>28818</v>
      </c>
      <c r="M118" s="132">
        <f t="shared" si="36"/>
        <v>22854</v>
      </c>
      <c r="N118" s="132">
        <f t="shared" si="36"/>
        <v>21045</v>
      </c>
      <c r="O118" s="132">
        <f t="shared" si="36"/>
        <v>18512</v>
      </c>
      <c r="P118" s="397">
        <f t="shared" si="30"/>
        <v>0.04620503093809272</v>
      </c>
      <c r="Q118" s="397">
        <f t="shared" si="13"/>
        <v>-0.0005929717246114474</v>
      </c>
      <c r="R118" s="397">
        <f t="shared" si="14"/>
        <v>0.003491600125926562</v>
      </c>
      <c r="S118" s="397">
        <f t="shared" si="15"/>
        <v>0.005842068483577918</v>
      </c>
      <c r="T118" s="397">
        <f t="shared" si="16"/>
        <v>0.0019291718340912222</v>
      </c>
      <c r="U118" s="397">
        <f t="shared" si="17"/>
        <v>0.001685240554498505</v>
      </c>
      <c r="V118" s="397">
        <f t="shared" si="18"/>
        <v>0.004433541217154849</v>
      </c>
      <c r="W118" s="397">
        <f t="shared" si="19"/>
        <v>-0.013567803777840429</v>
      </c>
      <c r="X118" s="397">
        <f t="shared" si="20"/>
        <v>0.29745298077590393</v>
      </c>
      <c r="Z118" s="430"/>
      <c r="AA118" s="431"/>
      <c r="AB118" s="203"/>
    </row>
    <row r="119" spans="2:28" ht="15">
      <c r="B119" s="118" t="s">
        <v>138</v>
      </c>
      <c r="C119" s="301">
        <f aca="true" t="shared" si="37" ref="C119:O119">C42+C85</f>
        <v>361722</v>
      </c>
      <c r="D119" s="398">
        <f t="shared" si="37"/>
        <v>33797</v>
      </c>
      <c r="E119" s="113">
        <f t="shared" si="37"/>
        <v>35027</v>
      </c>
      <c r="F119" s="113">
        <f t="shared" si="37"/>
        <v>35982</v>
      </c>
      <c r="G119" s="119">
        <f t="shared" si="37"/>
        <v>36602</v>
      </c>
      <c r="H119" s="119">
        <f t="shared" si="37"/>
        <v>36925</v>
      </c>
      <c r="I119" s="119">
        <f t="shared" si="37"/>
        <v>33968</v>
      </c>
      <c r="J119" s="119">
        <f t="shared" si="37"/>
        <v>28547</v>
      </c>
      <c r="K119" s="119">
        <f t="shared" si="37"/>
        <v>28547</v>
      </c>
      <c r="L119" s="119">
        <f t="shared" si="37"/>
        <v>34426</v>
      </c>
      <c r="M119" s="133">
        <f t="shared" si="37"/>
        <v>22106</v>
      </c>
      <c r="N119" s="133">
        <f t="shared" si="37"/>
        <v>18514</v>
      </c>
      <c r="O119" s="133">
        <f t="shared" si="37"/>
        <v>17281</v>
      </c>
      <c r="P119" s="397">
        <f t="shared" si="30"/>
        <v>0.051927685889280116</v>
      </c>
      <c r="Q119" s="397">
        <f t="shared" si="13"/>
        <v>0.002455248808062352</v>
      </c>
      <c r="R119" s="397">
        <f t="shared" si="14"/>
        <v>0.00575287643821911</v>
      </c>
      <c r="S119" s="397">
        <f t="shared" si="15"/>
        <v>0.008660728921916836</v>
      </c>
      <c r="T119" s="397">
        <f t="shared" si="16"/>
        <v>0.0036560595802301965</v>
      </c>
      <c r="U119" s="397">
        <f t="shared" si="17"/>
        <v>0.003974328780028262</v>
      </c>
      <c r="V119" s="397">
        <f t="shared" si="18"/>
        <v>0.005990121553928609</v>
      </c>
      <c r="W119" s="397">
        <f t="shared" si="19"/>
        <v>-0.009493116614705574</v>
      </c>
      <c r="X119" s="397">
        <f t="shared" si="20"/>
        <v>0.33614128856097136</v>
      </c>
      <c r="Z119" s="430"/>
      <c r="AA119" s="431"/>
      <c r="AB119" s="203"/>
    </row>
    <row r="120" spans="2:28" ht="15">
      <c r="B120" s="543" t="s">
        <v>571</v>
      </c>
      <c r="C120" s="543"/>
      <c r="D120" s="198">
        <f>SUM(D110:D119)</f>
        <v>240221</v>
      </c>
      <c r="E120" s="198"/>
      <c r="F120" s="198"/>
      <c r="G120" s="198"/>
      <c r="H120" s="198"/>
      <c r="I120" s="198"/>
      <c r="J120" s="198"/>
      <c r="K120" s="198"/>
      <c r="L120" s="198">
        <f>SUM(L102:L111)</f>
        <v>230539</v>
      </c>
      <c r="M120" s="399">
        <f>(L120-D120)/D120</f>
        <v>-0.04030455289087965</v>
      </c>
      <c r="N120" s="198"/>
      <c r="O120" s="198"/>
      <c r="Z120" s="430"/>
      <c r="AA120" s="431"/>
      <c r="AB120" s="203"/>
    </row>
    <row r="121" spans="4:28" ht="15">
      <c r="D121" s="198"/>
      <c r="E121" s="198"/>
      <c r="F121" s="198"/>
      <c r="G121" s="198"/>
      <c r="H121" s="198"/>
      <c r="I121" s="198"/>
      <c r="J121" s="198"/>
      <c r="K121" s="198"/>
      <c r="L121" s="198"/>
      <c r="M121" s="198"/>
      <c r="N121" s="198"/>
      <c r="O121" s="198"/>
      <c r="Z121" s="430"/>
      <c r="AA121" s="431"/>
      <c r="AB121" s="203"/>
    </row>
    <row r="122" spans="4:28" ht="15">
      <c r="D122" s="198"/>
      <c r="E122" s="198"/>
      <c r="F122" s="198"/>
      <c r="G122" s="198"/>
      <c r="H122" s="198"/>
      <c r="I122" s="198"/>
      <c r="J122" s="198"/>
      <c r="K122" s="198"/>
      <c r="L122" s="198"/>
      <c r="M122" s="198"/>
      <c r="N122" s="198"/>
      <c r="O122" s="198"/>
      <c r="Z122" s="430"/>
      <c r="AA122" s="431"/>
      <c r="AB122" s="203"/>
    </row>
    <row r="123" spans="4:28" ht="15">
      <c r="D123" s="198"/>
      <c r="E123" s="198"/>
      <c r="F123" s="198"/>
      <c r="G123" s="198"/>
      <c r="H123" s="198"/>
      <c r="I123" s="198"/>
      <c r="J123" s="198"/>
      <c r="K123" s="198"/>
      <c r="L123" s="198"/>
      <c r="M123" s="198"/>
      <c r="N123" s="198"/>
      <c r="O123" s="198"/>
      <c r="Z123" s="430"/>
      <c r="AA123" s="431"/>
      <c r="AB123" s="203"/>
    </row>
    <row r="124" spans="26:28" ht="15">
      <c r="Z124" s="430"/>
      <c r="AA124" s="431"/>
      <c r="AB124" s="203"/>
    </row>
    <row r="125" spans="26:28" ht="15">
      <c r="Z125" s="430"/>
      <c r="AA125" s="431"/>
      <c r="AB125" s="203"/>
    </row>
    <row r="126" spans="26:29" ht="15">
      <c r="Z126" s="430"/>
      <c r="AA126" s="431"/>
      <c r="AB126" s="203"/>
      <c r="AC126" s="400"/>
    </row>
    <row r="127" spans="26:28" ht="15">
      <c r="Z127" s="430"/>
      <c r="AA127" s="431"/>
      <c r="AB127" s="203"/>
    </row>
    <row r="128" spans="26:28" ht="15">
      <c r="Z128" s="430"/>
      <c r="AA128" s="431"/>
      <c r="AB128" s="203"/>
    </row>
    <row r="129" spans="26:27" ht="15">
      <c r="Z129" s="430"/>
      <c r="AA129" s="431"/>
    </row>
    <row r="130" spans="26:27" ht="15">
      <c r="Z130" s="430"/>
      <c r="AA130" s="431"/>
    </row>
  </sheetData>
  <sheetProtection/>
  <mergeCells count="5">
    <mergeCell ref="B120:C120"/>
    <mergeCell ref="Z108:AB108"/>
    <mergeCell ref="Z100:AB100"/>
    <mergeCell ref="A3:B3"/>
    <mergeCell ref="A46:B46"/>
  </mergeCells>
  <hyperlinks>
    <hyperlink ref="K1" r:id="rId1" display="http://www.izm.gov.lv/lv/publikacijas-un-statistika/statistika-par-izglitibu/statistika-par-visparejo-izglitibu/2015-2016-m-g"/>
  </hyperlinks>
  <printOptions/>
  <pageMargins left="0.7480314960629921" right="0.7480314960629921" top="0.5905511811023623" bottom="0" header="0.5118110236220472" footer="0.2362204724409449"/>
  <pageSetup horizontalDpi="600" verticalDpi="600" orientation="landscape" paperSize="9" r:id="rId2"/>
  <headerFooter alignWithMargins="0">
    <oddFooter>&amp;L&amp;8PKD Politikas plānošanas nodaļa</oddFooter>
  </headerFooter>
</worksheet>
</file>

<file path=xl/worksheets/sheet16.xml><?xml version="1.0" encoding="utf-8"?>
<worksheet xmlns="http://schemas.openxmlformats.org/spreadsheetml/2006/main" xmlns:r="http://schemas.openxmlformats.org/officeDocument/2006/relationships">
  <sheetPr>
    <tabColor rgb="FFC0C0C0"/>
  </sheetPr>
  <dimension ref="A1:I43"/>
  <sheetViews>
    <sheetView zoomScale="85" zoomScaleNormal="85" zoomScalePageLayoutView="0" workbookViewId="0" topLeftCell="A1">
      <selection activeCell="B93" sqref="B93"/>
    </sheetView>
  </sheetViews>
  <sheetFormatPr defaultColWidth="9.00390625" defaultRowHeight="15.75"/>
  <cols>
    <col min="1" max="1" width="9.50390625" style="320" customWidth="1"/>
    <col min="2" max="2" width="17.75390625" style="320" bestFit="1" customWidth="1"/>
    <col min="3" max="3" width="11.625" style="320" customWidth="1"/>
    <col min="4" max="4" width="14.625" style="320" bestFit="1" customWidth="1"/>
    <col min="5" max="5" width="16.875" style="320" customWidth="1"/>
    <col min="6" max="6" width="8.75390625" style="320" customWidth="1"/>
    <col min="7" max="7" width="9.625" style="320" bestFit="1" customWidth="1"/>
    <col min="8" max="16384" width="8.75390625" style="320" customWidth="1"/>
  </cols>
  <sheetData>
    <row r="1" ht="18">
      <c r="A1" s="319" t="s">
        <v>323</v>
      </c>
    </row>
    <row r="3" spans="1:6" ht="69" customHeight="1">
      <c r="A3" s="324"/>
      <c r="B3" s="325" t="s">
        <v>324</v>
      </c>
      <c r="C3" s="325" t="s">
        <v>325</v>
      </c>
      <c r="D3" s="325" t="s">
        <v>326</v>
      </c>
      <c r="E3" s="325" t="s">
        <v>327</v>
      </c>
      <c r="F3" s="326" t="s">
        <v>295</v>
      </c>
    </row>
    <row r="4" spans="1:6" ht="14.25">
      <c r="A4" s="326" t="s">
        <v>328</v>
      </c>
      <c r="B4" s="324">
        <v>120</v>
      </c>
      <c r="C4" s="324">
        <v>48625</v>
      </c>
      <c r="D4" s="324">
        <v>18440</v>
      </c>
      <c r="E4" s="324">
        <v>12827</v>
      </c>
      <c r="F4" s="324"/>
    </row>
    <row r="5" spans="1:6" ht="14.25">
      <c r="A5" s="326" t="s">
        <v>329</v>
      </c>
      <c r="B5" s="324">
        <v>126</v>
      </c>
      <c r="C5" s="324">
        <v>47627</v>
      </c>
      <c r="D5" s="324">
        <v>17461</v>
      </c>
      <c r="E5" s="324">
        <v>13324</v>
      </c>
      <c r="F5" s="324"/>
    </row>
    <row r="6" spans="1:6" ht="14.25">
      <c r="A6" s="326" t="s">
        <v>330</v>
      </c>
      <c r="B6" s="324">
        <v>124</v>
      </c>
      <c r="C6" s="324">
        <v>46533</v>
      </c>
      <c r="D6" s="324">
        <v>18114</v>
      </c>
      <c r="E6" s="324">
        <v>13409</v>
      </c>
      <c r="F6" s="324"/>
    </row>
    <row r="7" spans="1:5" ht="14.25">
      <c r="A7" s="326" t="s">
        <v>331</v>
      </c>
      <c r="B7" s="324">
        <v>111</v>
      </c>
      <c r="C7" s="324">
        <v>46789</v>
      </c>
      <c r="D7" s="324">
        <v>18525</v>
      </c>
      <c r="E7" s="324">
        <v>12537</v>
      </c>
    </row>
    <row r="8" spans="1:5" ht="14.25">
      <c r="A8" s="326" t="s">
        <v>332</v>
      </c>
      <c r="B8" s="324">
        <v>103</v>
      </c>
      <c r="C8" s="324">
        <v>44651</v>
      </c>
      <c r="D8" s="324">
        <v>16096</v>
      </c>
      <c r="E8" s="324">
        <v>11434</v>
      </c>
    </row>
    <row r="9" spans="1:5" ht="14.25">
      <c r="A9" s="326" t="s">
        <v>333</v>
      </c>
      <c r="B9" s="324">
        <v>96</v>
      </c>
      <c r="C9" s="324">
        <v>42737</v>
      </c>
      <c r="D9" s="324">
        <v>14521</v>
      </c>
      <c r="E9" s="324">
        <v>9963</v>
      </c>
    </row>
    <row r="10" spans="1:5" ht="14.25">
      <c r="A10" s="326" t="s">
        <v>334</v>
      </c>
      <c r="B10" s="324">
        <v>92</v>
      </c>
      <c r="C10" s="324">
        <v>40439</v>
      </c>
      <c r="D10" s="324">
        <v>14142</v>
      </c>
      <c r="E10" s="324">
        <v>10464</v>
      </c>
    </row>
    <row r="11" spans="1:5" ht="14.25">
      <c r="A11" s="326" t="s">
        <v>335</v>
      </c>
      <c r="B11" s="324">
        <v>92</v>
      </c>
      <c r="C11" s="324">
        <v>38876</v>
      </c>
      <c r="D11" s="324">
        <v>13745</v>
      </c>
      <c r="E11" s="324">
        <v>9777</v>
      </c>
    </row>
    <row r="12" spans="1:5" ht="14.25">
      <c r="A12" s="326" t="s">
        <v>336</v>
      </c>
      <c r="B12" s="324">
        <v>92</v>
      </c>
      <c r="C12" s="324">
        <v>38819</v>
      </c>
      <c r="D12" s="324">
        <v>13883</v>
      </c>
      <c r="E12" s="324">
        <v>8911</v>
      </c>
    </row>
    <row r="13" spans="1:5" ht="14.25">
      <c r="A13" s="326" t="s">
        <v>337</v>
      </c>
      <c r="B13" s="324">
        <v>85</v>
      </c>
      <c r="C13" s="324">
        <v>36660</v>
      </c>
      <c r="D13" s="324">
        <v>11367</v>
      </c>
      <c r="E13" s="324">
        <v>8689</v>
      </c>
    </row>
    <row r="14" spans="1:5" ht="14.25">
      <c r="A14" s="326" t="s">
        <v>338</v>
      </c>
      <c r="B14" s="324">
        <v>83</v>
      </c>
      <c r="C14" s="324">
        <v>35767</v>
      </c>
      <c r="D14" s="324">
        <v>11914</v>
      </c>
      <c r="E14" s="324">
        <v>9124</v>
      </c>
    </row>
    <row r="15" spans="1:5" ht="14.25">
      <c r="A15" s="326" t="s">
        <v>339</v>
      </c>
      <c r="B15" s="324">
        <v>65</v>
      </c>
      <c r="C15" s="324">
        <v>34638</v>
      </c>
      <c r="D15" s="324">
        <v>11924</v>
      </c>
      <c r="E15" s="324">
        <v>8990</v>
      </c>
    </row>
    <row r="16" spans="1:5" ht="14.25">
      <c r="A16" s="326" t="s">
        <v>340</v>
      </c>
      <c r="B16" s="324">
        <v>65</v>
      </c>
      <c r="C16" s="324">
        <v>32086</v>
      </c>
      <c r="D16" s="324">
        <v>11366</v>
      </c>
      <c r="E16" s="324">
        <v>9473</v>
      </c>
    </row>
    <row r="17" spans="1:5" ht="14.25">
      <c r="A17" s="326" t="s">
        <v>341</v>
      </c>
      <c r="B17" s="324">
        <v>66</v>
      </c>
      <c r="C17" s="324">
        <v>31055</v>
      </c>
      <c r="D17" s="324">
        <v>11506</v>
      </c>
      <c r="E17" s="324">
        <v>8191</v>
      </c>
    </row>
    <row r="18" spans="1:5" ht="14.25">
      <c r="A18" s="326" t="s">
        <v>342</v>
      </c>
      <c r="B18" s="324">
        <v>63</v>
      </c>
      <c r="C18" s="324">
        <v>29855</v>
      </c>
      <c r="D18" s="324">
        <v>11703</v>
      </c>
      <c r="E18" s="324">
        <v>8842</v>
      </c>
    </row>
    <row r="19" spans="1:5" ht="14.25">
      <c r="A19" s="326" t="s">
        <v>343</v>
      </c>
      <c r="B19" s="324">
        <v>54</v>
      </c>
      <c r="C19" s="324">
        <v>27938</v>
      </c>
      <c r="D19" s="324">
        <v>11048</v>
      </c>
      <c r="E19" s="324">
        <v>8201</v>
      </c>
    </row>
    <row r="20" spans="1:5" ht="14.25">
      <c r="A20" s="326" t="s">
        <v>344</v>
      </c>
      <c r="B20" s="324"/>
      <c r="C20" s="324"/>
      <c r="D20" s="324">
        <f>SUM(D4:D15)</f>
        <v>180132</v>
      </c>
      <c r="E20" s="324">
        <f>SUM(E8:E19)</f>
        <v>112059</v>
      </c>
    </row>
    <row r="21" spans="1:6" ht="15.75">
      <c r="A21" s="326" t="s">
        <v>320</v>
      </c>
      <c r="B21" s="324"/>
      <c r="C21" s="324"/>
      <c r="D21" s="324"/>
      <c r="E21" s="388">
        <f>(E20-D20)/D20</f>
        <v>-0.3779062021184465</v>
      </c>
      <c r="F21" s="467">
        <f>E21/4</f>
        <v>-0.09447655052961162</v>
      </c>
    </row>
    <row r="22" ht="14.25">
      <c r="E22" s="328">
        <f>1+E21</f>
        <v>0.6220937978815535</v>
      </c>
    </row>
    <row r="23" ht="18">
      <c r="A23" s="319" t="s">
        <v>345</v>
      </c>
    </row>
    <row r="25" spans="1:9" ht="72">
      <c r="A25" s="324"/>
      <c r="B25" s="325" t="s">
        <v>346</v>
      </c>
      <c r="C25" s="325" t="s">
        <v>347</v>
      </c>
      <c r="D25" s="325" t="s">
        <v>348</v>
      </c>
      <c r="E25" s="325" t="s">
        <v>349</v>
      </c>
      <c r="F25" s="325" t="s">
        <v>350</v>
      </c>
      <c r="G25" s="325" t="s">
        <v>351</v>
      </c>
      <c r="H25" s="325" t="s">
        <v>352</v>
      </c>
      <c r="I25" s="324"/>
    </row>
    <row r="26" spans="1:9" ht="14.25">
      <c r="A26" s="326" t="s">
        <v>328</v>
      </c>
      <c r="B26" s="324">
        <v>33</v>
      </c>
      <c r="C26" s="324">
        <v>101270</v>
      </c>
      <c r="D26" s="324">
        <v>58897</v>
      </c>
      <c r="E26" s="324">
        <v>42373</v>
      </c>
      <c r="F26" s="324">
        <v>430</v>
      </c>
      <c r="G26" s="324">
        <v>32950</v>
      </c>
      <c r="H26" s="324">
        <v>15009</v>
      </c>
      <c r="I26" s="324"/>
    </row>
    <row r="27" spans="1:9" ht="14.25">
      <c r="A27" s="326" t="s">
        <v>329</v>
      </c>
      <c r="B27" s="324">
        <v>36</v>
      </c>
      <c r="C27" s="324">
        <v>110500</v>
      </c>
      <c r="D27" s="324">
        <v>66577</v>
      </c>
      <c r="E27" s="324">
        <v>43923</v>
      </c>
      <c r="F27" s="324">
        <v>476</v>
      </c>
      <c r="G27" s="324">
        <v>37279</v>
      </c>
      <c r="H27" s="324">
        <v>20308</v>
      </c>
      <c r="I27" s="324"/>
    </row>
    <row r="28" spans="1:9" ht="14.25">
      <c r="A28" s="326" t="s">
        <v>330</v>
      </c>
      <c r="B28" s="324">
        <v>37</v>
      </c>
      <c r="C28" s="324">
        <v>118944</v>
      </c>
      <c r="D28" s="324">
        <v>72300</v>
      </c>
      <c r="E28" s="324">
        <v>46644</v>
      </c>
      <c r="F28" s="324">
        <v>517</v>
      </c>
      <c r="G28" s="324">
        <v>40993</v>
      </c>
      <c r="H28" s="324">
        <v>18917</v>
      </c>
      <c r="I28" s="324"/>
    </row>
    <row r="29" spans="1:9" ht="14.25">
      <c r="A29" s="326" t="s">
        <v>331</v>
      </c>
      <c r="B29" s="324">
        <v>49</v>
      </c>
      <c r="C29" s="324">
        <v>127656</v>
      </c>
      <c r="D29" s="324">
        <v>83742</v>
      </c>
      <c r="E29" s="324">
        <v>43914</v>
      </c>
      <c r="F29" s="324">
        <v>561</v>
      </c>
      <c r="G29" s="324">
        <v>43037</v>
      </c>
      <c r="H29" s="324">
        <v>20767</v>
      </c>
      <c r="I29" s="324"/>
    </row>
    <row r="30" spans="1:9" ht="14.25">
      <c r="A30" s="326" t="s">
        <v>332</v>
      </c>
      <c r="B30" s="324">
        <v>56</v>
      </c>
      <c r="C30" s="324">
        <v>130706</v>
      </c>
      <c r="D30" s="324">
        <v>80068</v>
      </c>
      <c r="E30" s="324">
        <v>50638</v>
      </c>
      <c r="F30" s="324">
        <v>581</v>
      </c>
      <c r="G30" s="324">
        <v>42157</v>
      </c>
      <c r="H30" s="324">
        <v>23852</v>
      </c>
      <c r="I30" s="324"/>
    </row>
    <row r="31" spans="1:9" ht="14.25">
      <c r="A31" s="326" t="s">
        <v>333</v>
      </c>
      <c r="B31" s="324">
        <v>57</v>
      </c>
      <c r="C31" s="324">
        <v>131125</v>
      </c>
      <c r="D31" s="324">
        <v>77263</v>
      </c>
      <c r="E31" s="324">
        <v>53862</v>
      </c>
      <c r="F31" s="324">
        <v>589</v>
      </c>
      <c r="G31" s="324">
        <v>43826</v>
      </c>
      <c r="H31" s="324">
        <v>26124</v>
      </c>
      <c r="I31" s="324"/>
    </row>
    <row r="32" spans="1:9" ht="14.25">
      <c r="A32" s="326" t="s">
        <v>334</v>
      </c>
      <c r="B32" s="324">
        <v>60</v>
      </c>
      <c r="C32" s="324">
        <v>129497</v>
      </c>
      <c r="D32" s="324">
        <v>74381</v>
      </c>
      <c r="E32" s="324">
        <v>55116</v>
      </c>
      <c r="F32" s="324">
        <v>586</v>
      </c>
      <c r="G32" s="324">
        <v>45047</v>
      </c>
      <c r="H32" s="324">
        <v>26414</v>
      </c>
      <c r="I32" s="324"/>
    </row>
    <row r="33" spans="1:9" ht="14.25">
      <c r="A33" s="326" t="s">
        <v>335</v>
      </c>
      <c r="B33" s="324">
        <v>60</v>
      </c>
      <c r="C33" s="324">
        <v>127760</v>
      </c>
      <c r="D33" s="324">
        <v>72664</v>
      </c>
      <c r="E33" s="324">
        <v>55096</v>
      </c>
      <c r="F33" s="324">
        <v>583</v>
      </c>
      <c r="G33" s="324">
        <v>43860</v>
      </c>
      <c r="H33" s="324">
        <v>26752</v>
      </c>
      <c r="I33" s="324"/>
    </row>
    <row r="34" spans="1:9" ht="14.25">
      <c r="A34" s="326" t="s">
        <v>336</v>
      </c>
      <c r="B34" s="324">
        <v>60</v>
      </c>
      <c r="C34" s="324">
        <v>125360</v>
      </c>
      <c r="D34" s="324">
        <v>72660</v>
      </c>
      <c r="E34" s="324">
        <v>52700</v>
      </c>
      <c r="F34" s="324">
        <v>580</v>
      </c>
      <c r="G34" s="324">
        <v>41577</v>
      </c>
      <c r="H34" s="324">
        <v>24170</v>
      </c>
      <c r="I34" s="324"/>
    </row>
    <row r="35" spans="1:9" ht="14.25">
      <c r="A35" s="326" t="s">
        <v>337</v>
      </c>
      <c r="B35" s="324">
        <v>61</v>
      </c>
      <c r="C35" s="324">
        <v>112567</v>
      </c>
      <c r="D35" s="324">
        <v>71234</v>
      </c>
      <c r="E35" s="324">
        <v>41333</v>
      </c>
      <c r="F35" s="324">
        <v>531</v>
      </c>
      <c r="G35" s="324">
        <v>31529</v>
      </c>
      <c r="H35" s="324">
        <v>26007</v>
      </c>
      <c r="I35" s="324"/>
    </row>
    <row r="36" spans="1:9" ht="14.25">
      <c r="A36" s="326" t="s">
        <v>338</v>
      </c>
      <c r="B36" s="324">
        <v>58</v>
      </c>
      <c r="C36" s="324">
        <v>103856</v>
      </c>
      <c r="D36" s="324">
        <v>71444</v>
      </c>
      <c r="E36" s="324">
        <v>32412</v>
      </c>
      <c r="F36" s="324">
        <v>501</v>
      </c>
      <c r="G36" s="324">
        <v>31012</v>
      </c>
      <c r="H36" s="324">
        <v>26545</v>
      </c>
      <c r="I36" s="324"/>
    </row>
    <row r="37" spans="1:9" ht="14.25">
      <c r="A37" s="326" t="s">
        <v>339</v>
      </c>
      <c r="B37" s="324">
        <v>59</v>
      </c>
      <c r="C37" s="324">
        <v>97041</v>
      </c>
      <c r="D37" s="324">
        <v>69159</v>
      </c>
      <c r="E37" s="324">
        <v>27882</v>
      </c>
      <c r="F37" s="324">
        <v>475</v>
      </c>
      <c r="G37" s="324">
        <v>31945</v>
      </c>
      <c r="H37" s="324">
        <v>24853</v>
      </c>
      <c r="I37" s="324"/>
    </row>
    <row r="38" spans="1:9" ht="14.25">
      <c r="A38" s="326" t="s">
        <v>340</v>
      </c>
      <c r="B38" s="324">
        <v>61</v>
      </c>
      <c r="C38" s="324">
        <v>94474</v>
      </c>
      <c r="D38" s="324">
        <v>68659</v>
      </c>
      <c r="E38" s="324">
        <v>25815</v>
      </c>
      <c r="F38" s="324">
        <v>467</v>
      </c>
      <c r="G38" s="324">
        <v>33319</v>
      </c>
      <c r="H38" s="324">
        <v>21472</v>
      </c>
      <c r="I38" s="324"/>
    </row>
    <row r="39" spans="1:9" ht="14.25">
      <c r="A39" s="326" t="s">
        <v>341</v>
      </c>
      <c r="B39" s="324">
        <v>61</v>
      </c>
      <c r="C39" s="324">
        <v>89671</v>
      </c>
      <c r="D39" s="324">
        <v>65117</v>
      </c>
      <c r="E39" s="324">
        <v>24554</v>
      </c>
      <c r="F39" s="324">
        <v>448</v>
      </c>
      <c r="G39" s="324">
        <v>31219</v>
      </c>
      <c r="H39" s="324">
        <v>21610</v>
      </c>
      <c r="I39" s="324"/>
    </row>
    <row r="40" spans="1:9" ht="14.25">
      <c r="A40" s="326" t="s">
        <v>342</v>
      </c>
      <c r="B40" s="324">
        <v>60</v>
      </c>
      <c r="C40" s="324">
        <v>85881</v>
      </c>
      <c r="D40" s="324">
        <v>62552</v>
      </c>
      <c r="E40" s="324">
        <v>23329</v>
      </c>
      <c r="F40" s="324">
        <v>432</v>
      </c>
      <c r="G40" s="324">
        <v>29137</v>
      </c>
      <c r="H40" s="324">
        <v>17345</v>
      </c>
      <c r="I40" s="324"/>
    </row>
    <row r="41" spans="1:9" ht="14.25">
      <c r="A41" s="326" t="s">
        <v>343</v>
      </c>
      <c r="B41" s="324">
        <v>58</v>
      </c>
      <c r="C41" s="324">
        <v>84282</v>
      </c>
      <c r="D41" s="324">
        <v>61593</v>
      </c>
      <c r="E41" s="324">
        <v>22689</v>
      </c>
      <c r="F41" s="324">
        <v>427</v>
      </c>
      <c r="G41" s="324">
        <v>29083</v>
      </c>
      <c r="H41" s="324">
        <v>17021</v>
      </c>
      <c r="I41" s="324"/>
    </row>
    <row r="42" spans="1:9" ht="14.25">
      <c r="A42" s="326" t="s">
        <v>344</v>
      </c>
      <c r="I42" s="324"/>
    </row>
    <row r="43" spans="1:9" ht="15.75">
      <c r="A43" s="326"/>
      <c r="G43" s="320">
        <f>SUM(G26:G39)</f>
        <v>529750</v>
      </c>
      <c r="H43" s="320">
        <f>SUM(H28:H41)</f>
        <v>321849</v>
      </c>
      <c r="I43" s="327">
        <f>((H43-G43)/G43)/3</f>
        <v>-0.13081705206858582</v>
      </c>
    </row>
  </sheetData>
  <sheetProtection/>
  <printOptions/>
  <pageMargins left="0.75" right="0.75" top="0.75" bottom="0.5" header="0.5" footer="0.75"/>
  <pageSetup orientation="portrait" paperSize="9"/>
</worksheet>
</file>

<file path=xl/worksheets/sheet17.xml><?xml version="1.0" encoding="utf-8"?>
<worksheet xmlns="http://schemas.openxmlformats.org/spreadsheetml/2006/main" xmlns:r="http://schemas.openxmlformats.org/officeDocument/2006/relationships">
  <sheetPr>
    <tabColor rgb="FFC0C0C0"/>
  </sheetPr>
  <dimension ref="A1:O74"/>
  <sheetViews>
    <sheetView zoomScale="70" zoomScaleNormal="70" zoomScalePageLayoutView="0" workbookViewId="0" topLeftCell="A29">
      <selection activeCell="B93" sqref="B93"/>
    </sheetView>
  </sheetViews>
  <sheetFormatPr defaultColWidth="9.00390625" defaultRowHeight="15.75" outlineLevelRow="1"/>
  <cols>
    <col min="1" max="1" width="57.625" style="324" customWidth="1"/>
    <col min="2" max="6" width="19.25390625" style="324" customWidth="1"/>
    <col min="7" max="10" width="4.625" style="324" customWidth="1"/>
    <col min="11" max="16384" width="8.75390625" style="324" customWidth="1"/>
  </cols>
  <sheetData>
    <row r="1" spans="2:10" ht="15">
      <c r="B1" s="339">
        <v>2010</v>
      </c>
      <c r="C1" s="339">
        <v>2011</v>
      </c>
      <c r="D1" s="339">
        <v>2012</v>
      </c>
      <c r="E1" s="339">
        <v>2013</v>
      </c>
      <c r="F1" s="339">
        <v>2014</v>
      </c>
      <c r="G1" s="340" t="s">
        <v>195</v>
      </c>
      <c r="H1" s="340" t="s">
        <v>321</v>
      </c>
      <c r="I1" s="340" t="s">
        <v>376</v>
      </c>
      <c r="J1" s="340" t="s">
        <v>377</v>
      </c>
    </row>
    <row r="2" spans="1:6" ht="18.75" outlineLevel="1">
      <c r="A2" s="330" t="s">
        <v>353</v>
      </c>
      <c r="B2" s="326"/>
      <c r="C2" s="326"/>
      <c r="D2" s="326"/>
      <c r="E2" s="326"/>
      <c r="F2" s="326"/>
    </row>
    <row r="3" spans="1:10" ht="15.75" outlineLevel="1">
      <c r="A3" s="326" t="s">
        <v>245</v>
      </c>
      <c r="B3" s="331">
        <v>16028878000</v>
      </c>
      <c r="C3" s="331">
        <v>18093372000</v>
      </c>
      <c r="D3" s="331">
        <v>19430902000</v>
      </c>
      <c r="E3" s="331">
        <v>20233885000</v>
      </c>
      <c r="F3" s="331">
        <v>20892344000</v>
      </c>
      <c r="G3" s="332">
        <v>0</v>
      </c>
      <c r="H3" s="332">
        <v>0</v>
      </c>
      <c r="I3" s="332">
        <v>0</v>
      </c>
      <c r="J3" s="332">
        <v>0</v>
      </c>
    </row>
    <row r="4" spans="1:10" ht="15.75" outlineLevel="1">
      <c r="A4" s="326" t="s">
        <v>354</v>
      </c>
      <c r="B4" s="331">
        <v>706366000</v>
      </c>
      <c r="C4" s="331">
        <v>699701000</v>
      </c>
      <c r="D4" s="331">
        <v>715489000</v>
      </c>
      <c r="E4" s="331">
        <v>687818000</v>
      </c>
      <c r="F4" s="331">
        <v>682308000</v>
      </c>
      <c r="G4" s="333">
        <f aca="true" t="shared" si="0" ref="G4:J22">G48</f>
        <v>0</v>
      </c>
      <c r="H4" s="333">
        <f t="shared" si="0"/>
        <v>0</v>
      </c>
      <c r="I4" s="333">
        <f t="shared" si="0"/>
        <v>1</v>
      </c>
      <c r="J4" s="333">
        <f t="shared" si="0"/>
        <v>0</v>
      </c>
    </row>
    <row r="5" spans="1:10" ht="15.75" outlineLevel="1">
      <c r="A5" s="326" t="s">
        <v>355</v>
      </c>
      <c r="B5" s="331">
        <v>80721000</v>
      </c>
      <c r="C5" s="331">
        <v>82861000</v>
      </c>
      <c r="D5" s="331">
        <v>94408000</v>
      </c>
      <c r="E5" s="331">
        <v>105160000</v>
      </c>
      <c r="F5" s="331">
        <v>108728000</v>
      </c>
      <c r="G5" s="333">
        <f t="shared" si="0"/>
        <v>0</v>
      </c>
      <c r="H5" s="333">
        <f t="shared" si="0"/>
        <v>1</v>
      </c>
      <c r="I5" s="333">
        <f t="shared" si="0"/>
        <v>0</v>
      </c>
      <c r="J5" s="333">
        <f t="shared" si="0"/>
        <v>0</v>
      </c>
    </row>
    <row r="6" spans="1:10" ht="15.75" outlineLevel="1">
      <c r="A6" s="326" t="s">
        <v>356</v>
      </c>
      <c r="B6" s="331">
        <v>2155641000</v>
      </c>
      <c r="C6" s="331">
        <v>2365339000</v>
      </c>
      <c r="D6" s="331">
        <v>2519189000</v>
      </c>
      <c r="E6" s="331">
        <v>2541057000</v>
      </c>
      <c r="F6" s="331">
        <v>2542043000</v>
      </c>
      <c r="G6" s="333">
        <f t="shared" si="0"/>
        <v>0</v>
      </c>
      <c r="H6" s="333">
        <f t="shared" si="0"/>
        <v>1</v>
      </c>
      <c r="I6" s="333">
        <f t="shared" si="0"/>
        <v>0</v>
      </c>
      <c r="J6" s="333">
        <f t="shared" si="0"/>
        <v>0</v>
      </c>
    </row>
    <row r="7" spans="1:10" ht="15.75" outlineLevel="1">
      <c r="A7" s="326" t="s">
        <v>357</v>
      </c>
      <c r="B7" s="331">
        <v>623312000</v>
      </c>
      <c r="C7" s="331">
        <v>632526000</v>
      </c>
      <c r="D7" s="331">
        <v>646373000</v>
      </c>
      <c r="E7" s="331">
        <v>653418000</v>
      </c>
      <c r="F7" s="331">
        <v>625184000</v>
      </c>
      <c r="G7" s="333">
        <f t="shared" si="0"/>
        <v>0</v>
      </c>
      <c r="H7" s="333">
        <f t="shared" si="0"/>
        <v>1</v>
      </c>
      <c r="I7" s="333">
        <f t="shared" si="0"/>
        <v>0</v>
      </c>
      <c r="J7" s="333">
        <f t="shared" si="0"/>
        <v>0</v>
      </c>
    </row>
    <row r="8" spans="1:10" ht="15.75" outlineLevel="1">
      <c r="A8" s="326" t="s">
        <v>358</v>
      </c>
      <c r="B8" s="331">
        <v>164695000</v>
      </c>
      <c r="C8" s="331">
        <v>185078000</v>
      </c>
      <c r="D8" s="331">
        <v>175933000</v>
      </c>
      <c r="E8" s="331">
        <v>175903000</v>
      </c>
      <c r="F8" s="331">
        <v>179136000</v>
      </c>
      <c r="G8" s="333">
        <f t="shared" si="0"/>
        <v>0</v>
      </c>
      <c r="H8" s="333">
        <f t="shared" si="0"/>
        <v>1</v>
      </c>
      <c r="I8" s="333">
        <f t="shared" si="0"/>
        <v>0</v>
      </c>
      <c r="J8" s="333">
        <f t="shared" si="0"/>
        <v>0</v>
      </c>
    </row>
    <row r="9" spans="1:10" ht="15.75" outlineLevel="1">
      <c r="A9" s="326" t="s">
        <v>359</v>
      </c>
      <c r="B9" s="331">
        <v>797568000</v>
      </c>
      <c r="C9" s="331">
        <v>1065842000</v>
      </c>
      <c r="D9" s="331">
        <v>1235160000</v>
      </c>
      <c r="E9" s="331">
        <v>1320427000</v>
      </c>
      <c r="F9" s="331">
        <v>1425254000</v>
      </c>
      <c r="G9" s="333">
        <f t="shared" si="0"/>
        <v>0</v>
      </c>
      <c r="H9" s="333">
        <f t="shared" si="0"/>
        <v>1</v>
      </c>
      <c r="I9" s="333">
        <f t="shared" si="0"/>
        <v>0</v>
      </c>
      <c r="J9" s="333">
        <f t="shared" si="0"/>
        <v>0</v>
      </c>
    </row>
    <row r="10" spans="1:10" ht="15.75" outlineLevel="1">
      <c r="A10" s="326" t="s">
        <v>360</v>
      </c>
      <c r="B10" s="331">
        <v>2495012000</v>
      </c>
      <c r="C10" s="331">
        <v>2662675000</v>
      </c>
      <c r="D10" s="331">
        <v>2767043000</v>
      </c>
      <c r="E10" s="331">
        <v>2860622000</v>
      </c>
      <c r="F10" s="331">
        <v>2923603000</v>
      </c>
      <c r="G10" s="333">
        <f t="shared" si="0"/>
        <v>0</v>
      </c>
      <c r="H10" s="333">
        <f t="shared" si="0"/>
        <v>0</v>
      </c>
      <c r="I10" s="333">
        <f t="shared" si="0"/>
        <v>0</v>
      </c>
      <c r="J10" s="333">
        <f t="shared" si="0"/>
        <v>0</v>
      </c>
    </row>
    <row r="11" spans="1:10" ht="15.75" outlineLevel="1">
      <c r="A11" s="326" t="s">
        <v>361</v>
      </c>
      <c r="B11" s="331">
        <v>1678604000</v>
      </c>
      <c r="C11" s="331">
        <v>1901647000</v>
      </c>
      <c r="D11" s="331">
        <v>2042964000</v>
      </c>
      <c r="E11" s="331">
        <v>2071696000</v>
      </c>
      <c r="F11" s="331">
        <v>2102062000</v>
      </c>
      <c r="G11" s="333">
        <f t="shared" si="0"/>
        <v>0</v>
      </c>
      <c r="H11" s="333">
        <f t="shared" si="0"/>
        <v>0</v>
      </c>
      <c r="I11" s="333">
        <f t="shared" si="0"/>
        <v>0</v>
      </c>
      <c r="J11" s="333">
        <f t="shared" si="0"/>
        <v>0</v>
      </c>
    </row>
    <row r="12" spans="1:10" ht="15.75" outlineLevel="1">
      <c r="A12" s="326" t="s">
        <v>362</v>
      </c>
      <c r="B12" s="331">
        <v>259959000</v>
      </c>
      <c r="C12" s="331">
        <v>307481000</v>
      </c>
      <c r="D12" s="331">
        <v>309098000</v>
      </c>
      <c r="E12" s="331">
        <v>345134000</v>
      </c>
      <c r="F12" s="331">
        <v>371249000</v>
      </c>
      <c r="G12" s="333">
        <f t="shared" si="0"/>
        <v>0</v>
      </c>
      <c r="H12" s="333">
        <f t="shared" si="0"/>
        <v>0</v>
      </c>
      <c r="I12" s="333">
        <f t="shared" si="0"/>
        <v>0</v>
      </c>
      <c r="J12" s="333">
        <f t="shared" si="0"/>
        <v>1</v>
      </c>
    </row>
    <row r="13" spans="1:10" ht="15.75" outlineLevel="1">
      <c r="A13" s="326" t="s">
        <v>363</v>
      </c>
      <c r="B13" s="331">
        <v>738509000</v>
      </c>
      <c r="C13" s="331">
        <v>782547000</v>
      </c>
      <c r="D13" s="331">
        <v>843699000</v>
      </c>
      <c r="E13" s="331">
        <v>919594000</v>
      </c>
      <c r="F13" s="331">
        <v>964899000</v>
      </c>
      <c r="G13" s="333">
        <f t="shared" si="0"/>
        <v>0</v>
      </c>
      <c r="H13" s="333">
        <f t="shared" si="0"/>
        <v>1</v>
      </c>
      <c r="I13" s="333">
        <f t="shared" si="0"/>
        <v>0</v>
      </c>
      <c r="J13" s="333">
        <f t="shared" si="0"/>
        <v>0</v>
      </c>
    </row>
    <row r="14" spans="1:10" ht="15.75" outlineLevel="1">
      <c r="A14" s="326" t="s">
        <v>364</v>
      </c>
      <c r="B14" s="331">
        <v>538682000</v>
      </c>
      <c r="C14" s="331">
        <v>727079000</v>
      </c>
      <c r="D14" s="331">
        <v>806319000</v>
      </c>
      <c r="E14" s="331">
        <v>818094000</v>
      </c>
      <c r="F14" s="331">
        <v>931232000</v>
      </c>
      <c r="G14" s="333">
        <f t="shared" si="0"/>
        <v>0</v>
      </c>
      <c r="H14" s="333">
        <f t="shared" si="0"/>
        <v>0</v>
      </c>
      <c r="I14" s="333">
        <f t="shared" si="0"/>
        <v>0</v>
      </c>
      <c r="J14" s="333">
        <f t="shared" si="0"/>
        <v>0</v>
      </c>
    </row>
    <row r="15" spans="1:10" ht="15.75" outlineLevel="1">
      <c r="A15" s="326" t="s">
        <v>365</v>
      </c>
      <c r="B15" s="331">
        <v>1630749000</v>
      </c>
      <c r="C15" s="331">
        <v>1990075000</v>
      </c>
      <c r="D15" s="331">
        <v>2306565000</v>
      </c>
      <c r="E15" s="331">
        <v>2534893000</v>
      </c>
      <c r="F15" s="331">
        <v>2590516000</v>
      </c>
      <c r="G15" s="333">
        <f t="shared" si="0"/>
        <v>0</v>
      </c>
      <c r="H15" s="333">
        <f t="shared" si="0"/>
        <v>0</v>
      </c>
      <c r="I15" s="333">
        <f t="shared" si="0"/>
        <v>0</v>
      </c>
      <c r="J15" s="333">
        <f t="shared" si="0"/>
        <v>0</v>
      </c>
    </row>
    <row r="16" spans="1:10" ht="15.75" outlineLevel="1">
      <c r="A16" s="326" t="s">
        <v>366</v>
      </c>
      <c r="B16" s="331">
        <v>717470000</v>
      </c>
      <c r="C16" s="331">
        <v>825867000</v>
      </c>
      <c r="D16" s="331">
        <v>880393000</v>
      </c>
      <c r="E16" s="331">
        <v>889730000</v>
      </c>
      <c r="F16" s="331">
        <v>932512000</v>
      </c>
      <c r="G16" s="333">
        <f t="shared" si="0"/>
        <v>0</v>
      </c>
      <c r="H16" s="333">
        <f t="shared" si="0"/>
        <v>1</v>
      </c>
      <c r="I16" s="333">
        <f t="shared" si="0"/>
        <v>0</v>
      </c>
      <c r="J16" s="333">
        <f t="shared" si="0"/>
        <v>0</v>
      </c>
    </row>
    <row r="17" spans="1:10" ht="15.75" outlineLevel="1">
      <c r="A17" s="326" t="s">
        <v>367</v>
      </c>
      <c r="B17" s="331">
        <v>449722000</v>
      </c>
      <c r="C17" s="331">
        <v>568481000</v>
      </c>
      <c r="D17" s="331">
        <v>592038000</v>
      </c>
      <c r="E17" s="331">
        <v>624567000</v>
      </c>
      <c r="F17" s="331">
        <v>643714000</v>
      </c>
      <c r="G17" s="333">
        <f t="shared" si="0"/>
        <v>0</v>
      </c>
      <c r="H17" s="333">
        <f t="shared" si="0"/>
        <v>0</v>
      </c>
      <c r="I17" s="333">
        <f t="shared" si="0"/>
        <v>0</v>
      </c>
      <c r="J17" s="333">
        <f t="shared" si="0"/>
        <v>0</v>
      </c>
    </row>
    <row r="18" spans="1:10" ht="15.75" outlineLevel="1">
      <c r="A18" s="326" t="s">
        <v>368</v>
      </c>
      <c r="B18" s="331">
        <v>1200968000</v>
      </c>
      <c r="C18" s="331">
        <v>1354304000</v>
      </c>
      <c r="D18" s="331">
        <v>1419020000</v>
      </c>
      <c r="E18" s="331">
        <v>1467548000</v>
      </c>
      <c r="F18" s="331">
        <v>1529078000</v>
      </c>
      <c r="G18" s="333">
        <f t="shared" si="0"/>
        <v>0</v>
      </c>
      <c r="H18" s="333">
        <f t="shared" si="0"/>
        <v>0</v>
      </c>
      <c r="I18" s="333">
        <f t="shared" si="0"/>
        <v>0</v>
      </c>
      <c r="J18" s="333">
        <f t="shared" si="0"/>
        <v>0</v>
      </c>
    </row>
    <row r="19" spans="1:10" ht="15.75" outlineLevel="1">
      <c r="A19" s="326" t="s">
        <v>369</v>
      </c>
      <c r="B19" s="331">
        <v>841755000</v>
      </c>
      <c r="C19" s="331">
        <v>896095000</v>
      </c>
      <c r="D19" s="331">
        <v>926601000</v>
      </c>
      <c r="E19" s="331">
        <v>985715000</v>
      </c>
      <c r="F19" s="331">
        <v>1002152000</v>
      </c>
      <c r="G19" s="333">
        <f t="shared" si="0"/>
        <v>0</v>
      </c>
      <c r="H19" s="333">
        <f t="shared" si="0"/>
        <v>0</v>
      </c>
      <c r="I19" s="333">
        <f t="shared" si="0"/>
        <v>0</v>
      </c>
      <c r="J19" s="333">
        <f t="shared" si="0"/>
        <v>0</v>
      </c>
    </row>
    <row r="20" spans="1:10" ht="15.75" outlineLevel="1">
      <c r="A20" s="326" t="s">
        <v>370</v>
      </c>
      <c r="B20" s="331">
        <v>505069000</v>
      </c>
      <c r="C20" s="331">
        <v>526843000</v>
      </c>
      <c r="D20" s="331">
        <v>568742000</v>
      </c>
      <c r="E20" s="331">
        <v>612381000</v>
      </c>
      <c r="F20" s="331">
        <v>671158000</v>
      </c>
      <c r="G20" s="333">
        <f t="shared" si="0"/>
        <v>0</v>
      </c>
      <c r="H20" s="333">
        <f t="shared" si="0"/>
        <v>0</v>
      </c>
      <c r="I20" s="333">
        <f t="shared" si="0"/>
        <v>0</v>
      </c>
      <c r="J20" s="333">
        <f t="shared" si="0"/>
        <v>0</v>
      </c>
    </row>
    <row r="21" spans="1:10" ht="15.75" outlineLevel="1">
      <c r="A21" s="326" t="s">
        <v>371</v>
      </c>
      <c r="B21" s="331">
        <v>287072000</v>
      </c>
      <c r="C21" s="331">
        <v>341371000</v>
      </c>
      <c r="D21" s="331">
        <v>374586000</v>
      </c>
      <c r="E21" s="331">
        <v>408116000</v>
      </c>
      <c r="F21" s="331">
        <v>441100000</v>
      </c>
      <c r="G21" s="333">
        <f t="shared" si="0"/>
        <v>1</v>
      </c>
      <c r="H21" s="333">
        <f t="shared" si="0"/>
        <v>0</v>
      </c>
      <c r="I21" s="333">
        <f t="shared" si="0"/>
        <v>0</v>
      </c>
      <c r="J21" s="333">
        <f t="shared" si="0"/>
        <v>0</v>
      </c>
    </row>
    <row r="22" spans="1:10" ht="15.75" outlineLevel="1">
      <c r="A22" s="326" t="s">
        <v>372</v>
      </c>
      <c r="B22" s="331">
        <v>127207000</v>
      </c>
      <c r="C22" s="331">
        <v>137846000</v>
      </c>
      <c r="D22" s="331">
        <v>169295000</v>
      </c>
      <c r="E22" s="331">
        <v>181931000</v>
      </c>
      <c r="F22" s="331"/>
      <c r="G22" s="333">
        <f t="shared" si="0"/>
        <v>0</v>
      </c>
      <c r="H22" s="333">
        <f t="shared" si="0"/>
        <v>0</v>
      </c>
      <c r="I22" s="333">
        <f t="shared" si="0"/>
        <v>0</v>
      </c>
      <c r="J22" s="333">
        <f t="shared" si="0"/>
        <v>0</v>
      </c>
    </row>
    <row r="23" spans="12:15" ht="15" outlineLevel="1">
      <c r="L23" s="550" t="s">
        <v>568</v>
      </c>
      <c r="M23" s="550"/>
      <c r="N23" s="550"/>
      <c r="O23" s="550"/>
    </row>
    <row r="24" spans="1:15" ht="18.75" outlineLevel="1">
      <c r="A24" s="330" t="s">
        <v>374</v>
      </c>
      <c r="L24" s="340" t="s">
        <v>195</v>
      </c>
      <c r="M24" s="340" t="s">
        <v>321</v>
      </c>
      <c r="N24" s="340" t="s">
        <v>376</v>
      </c>
      <c r="O24" s="340" t="s">
        <v>377</v>
      </c>
    </row>
    <row r="25" spans="1:15" ht="15.75" outlineLevel="1">
      <c r="A25" s="326" t="s">
        <v>245</v>
      </c>
      <c r="B25" s="331">
        <v>850700</v>
      </c>
      <c r="C25" s="331">
        <v>861600</v>
      </c>
      <c r="D25" s="331">
        <v>875600</v>
      </c>
      <c r="E25" s="331">
        <v>893900</v>
      </c>
      <c r="F25" s="331">
        <v>884600</v>
      </c>
      <c r="G25" s="332">
        <v>0</v>
      </c>
      <c r="H25" s="332">
        <v>0</v>
      </c>
      <c r="I25" s="332">
        <v>0</v>
      </c>
      <c r="J25" s="332">
        <v>0</v>
      </c>
      <c r="L25" s="388">
        <f>IF(G25=1,$F25/_xlfn.SUMIFS($F$25:$F$44,G$25:G$44,1),0)</f>
        <v>0</v>
      </c>
      <c r="M25" s="388">
        <f aca="true" t="shared" si="1" ref="M25:M44">IF(H25=1,$F25/_xlfn.SUMIFS($F$25:$F$44,H$25:H$44,1),0)</f>
        <v>0</v>
      </c>
      <c r="N25" s="388">
        <f aca="true" t="shared" si="2" ref="N25:N44">IF(I25=1,$F25/_xlfn.SUMIFS($F$25:$F$44,I$25:I$44,1),0)</f>
        <v>0</v>
      </c>
      <c r="O25" s="388">
        <f aca="true" t="shared" si="3" ref="O25:O44">IF(J25=1,$F25/_xlfn.SUMIFS($F$25:$F$44,J$25:J$44,1),0)</f>
        <v>0</v>
      </c>
    </row>
    <row r="26" spans="1:15" ht="15.75" outlineLevel="1">
      <c r="A26" s="326" t="s">
        <v>354</v>
      </c>
      <c r="B26" s="331">
        <v>73300</v>
      </c>
      <c r="C26" s="331">
        <v>76600</v>
      </c>
      <c r="D26" s="331">
        <v>73300</v>
      </c>
      <c r="E26" s="331">
        <v>71900</v>
      </c>
      <c r="F26" s="331">
        <v>66300</v>
      </c>
      <c r="G26" s="332">
        <f>G48</f>
        <v>0</v>
      </c>
      <c r="H26" s="332">
        <f>H48</f>
        <v>0</v>
      </c>
      <c r="I26" s="332">
        <f>I48</f>
        <v>1</v>
      </c>
      <c r="J26" s="332">
        <f>J48</f>
        <v>0</v>
      </c>
      <c r="L26" s="388">
        <f aca="true" t="shared" si="4" ref="L26:L44">IF(G26=1,$F26/_xlfn.SUMIFS($F$25:$F$44,G$25:G$44,1),0)</f>
        <v>0</v>
      </c>
      <c r="M26" s="388">
        <f t="shared" si="1"/>
        <v>0</v>
      </c>
      <c r="N26" s="388">
        <f t="shared" si="2"/>
        <v>1</v>
      </c>
      <c r="O26" s="388">
        <f t="shared" si="3"/>
        <v>0</v>
      </c>
    </row>
    <row r="27" spans="1:15" ht="15.75" outlineLevel="1">
      <c r="A27" s="326" t="s">
        <v>355</v>
      </c>
      <c r="B27" s="331">
        <v>3800</v>
      </c>
      <c r="C27" s="331">
        <v>2700</v>
      </c>
      <c r="D27" s="331">
        <v>2800</v>
      </c>
      <c r="E27" s="331">
        <v>2800</v>
      </c>
      <c r="F27" s="331">
        <v>3700</v>
      </c>
      <c r="G27" s="332">
        <f aca="true" t="shared" si="5" ref="G27:J44">G49</f>
        <v>0</v>
      </c>
      <c r="H27" s="332">
        <f t="shared" si="5"/>
        <v>1</v>
      </c>
      <c r="I27" s="332">
        <f t="shared" si="5"/>
        <v>0</v>
      </c>
      <c r="J27" s="332">
        <f t="shared" si="5"/>
        <v>0</v>
      </c>
      <c r="L27" s="388">
        <f t="shared" si="4"/>
        <v>0</v>
      </c>
      <c r="M27" s="388">
        <f t="shared" si="1"/>
        <v>0.01353823637028906</v>
      </c>
      <c r="N27" s="388">
        <f t="shared" si="2"/>
        <v>0</v>
      </c>
      <c r="O27" s="388">
        <f t="shared" si="3"/>
        <v>0</v>
      </c>
    </row>
    <row r="28" spans="1:15" ht="15.75" outlineLevel="1">
      <c r="A28" s="326" t="s">
        <v>356</v>
      </c>
      <c r="B28" s="331">
        <v>112200</v>
      </c>
      <c r="C28" s="331">
        <v>114400</v>
      </c>
      <c r="D28" s="331">
        <v>122500</v>
      </c>
      <c r="E28" s="331">
        <v>125700</v>
      </c>
      <c r="F28" s="331">
        <v>118800</v>
      </c>
      <c r="G28" s="332">
        <f t="shared" si="5"/>
        <v>0</v>
      </c>
      <c r="H28" s="332">
        <f t="shared" si="5"/>
        <v>1</v>
      </c>
      <c r="I28" s="332">
        <f t="shared" si="5"/>
        <v>0</v>
      </c>
      <c r="J28" s="332">
        <f t="shared" si="5"/>
        <v>0</v>
      </c>
      <c r="L28" s="388">
        <f t="shared" si="4"/>
        <v>0</v>
      </c>
      <c r="M28" s="388">
        <f t="shared" si="1"/>
        <v>0.43468715697036225</v>
      </c>
      <c r="N28" s="388">
        <f t="shared" si="2"/>
        <v>0</v>
      </c>
      <c r="O28" s="388">
        <f t="shared" si="3"/>
        <v>0</v>
      </c>
    </row>
    <row r="29" spans="1:15" ht="15.75" outlineLevel="1">
      <c r="A29" s="326" t="s">
        <v>357</v>
      </c>
      <c r="B29" s="331">
        <v>12700</v>
      </c>
      <c r="C29" s="331">
        <v>11600</v>
      </c>
      <c r="D29" s="331">
        <v>11000</v>
      </c>
      <c r="E29" s="331">
        <v>11600</v>
      </c>
      <c r="F29" s="331">
        <v>10000</v>
      </c>
      <c r="G29" s="332">
        <f t="shared" si="5"/>
        <v>0</v>
      </c>
      <c r="H29" s="332">
        <f t="shared" si="5"/>
        <v>1</v>
      </c>
      <c r="I29" s="332">
        <f t="shared" si="5"/>
        <v>0</v>
      </c>
      <c r="J29" s="332">
        <f t="shared" si="5"/>
        <v>0</v>
      </c>
      <c r="L29" s="388">
        <f t="shared" si="4"/>
        <v>0</v>
      </c>
      <c r="M29" s="388">
        <f t="shared" si="1"/>
        <v>0.03658982802780827</v>
      </c>
      <c r="N29" s="388">
        <f t="shared" si="2"/>
        <v>0</v>
      </c>
      <c r="O29" s="388">
        <f t="shared" si="3"/>
        <v>0</v>
      </c>
    </row>
    <row r="30" spans="1:15" ht="15.75" outlineLevel="1">
      <c r="A30" s="326" t="s">
        <v>358</v>
      </c>
      <c r="B30" s="331">
        <v>9900</v>
      </c>
      <c r="C30" s="331">
        <v>7700</v>
      </c>
      <c r="D30" s="331">
        <v>6800</v>
      </c>
      <c r="E30" s="331">
        <v>6200</v>
      </c>
      <c r="F30" s="331">
        <v>5200</v>
      </c>
      <c r="G30" s="332">
        <f t="shared" si="5"/>
        <v>0</v>
      </c>
      <c r="H30" s="332">
        <f t="shared" si="5"/>
        <v>1</v>
      </c>
      <c r="I30" s="332">
        <f t="shared" si="5"/>
        <v>0</v>
      </c>
      <c r="J30" s="332">
        <f t="shared" si="5"/>
        <v>0</v>
      </c>
      <c r="L30" s="388">
        <f t="shared" si="4"/>
        <v>0</v>
      </c>
      <c r="M30" s="388">
        <f t="shared" si="1"/>
        <v>0.0190267105744603</v>
      </c>
      <c r="N30" s="388">
        <f t="shared" si="2"/>
        <v>0</v>
      </c>
      <c r="O30" s="388">
        <f t="shared" si="3"/>
        <v>0</v>
      </c>
    </row>
    <row r="31" spans="1:15" ht="15.75" outlineLevel="1">
      <c r="A31" s="326" t="s">
        <v>359</v>
      </c>
      <c r="B31" s="331">
        <v>57600</v>
      </c>
      <c r="C31" s="331">
        <v>60900</v>
      </c>
      <c r="D31" s="331">
        <v>62300</v>
      </c>
      <c r="E31" s="331">
        <v>67300</v>
      </c>
      <c r="F31" s="331">
        <v>73200</v>
      </c>
      <c r="G31" s="332">
        <f t="shared" si="5"/>
        <v>0</v>
      </c>
      <c r="H31" s="332">
        <f t="shared" si="5"/>
        <v>1</v>
      </c>
      <c r="I31" s="332">
        <f t="shared" si="5"/>
        <v>0</v>
      </c>
      <c r="J31" s="332">
        <f t="shared" si="5"/>
        <v>0</v>
      </c>
      <c r="L31" s="388">
        <f t="shared" si="4"/>
        <v>0</v>
      </c>
      <c r="M31" s="388">
        <f t="shared" si="1"/>
        <v>0.2678375411635565</v>
      </c>
      <c r="N31" s="388">
        <f t="shared" si="2"/>
        <v>0</v>
      </c>
      <c r="O31" s="388">
        <f t="shared" si="3"/>
        <v>0</v>
      </c>
    </row>
    <row r="32" spans="1:15" ht="15.75" outlineLevel="1">
      <c r="A32" s="326" t="s">
        <v>360</v>
      </c>
      <c r="B32" s="331">
        <v>135900</v>
      </c>
      <c r="C32" s="331">
        <v>136200</v>
      </c>
      <c r="D32" s="331">
        <v>127400</v>
      </c>
      <c r="E32" s="331">
        <v>133400</v>
      </c>
      <c r="F32" s="331">
        <v>132300</v>
      </c>
      <c r="G32" s="332">
        <f t="shared" si="5"/>
        <v>0</v>
      </c>
      <c r="H32" s="332">
        <f t="shared" si="5"/>
        <v>0</v>
      </c>
      <c r="I32" s="332">
        <f t="shared" si="5"/>
        <v>0</v>
      </c>
      <c r="J32" s="332">
        <f t="shared" si="5"/>
        <v>0</v>
      </c>
      <c r="L32" s="388">
        <f t="shared" si="4"/>
        <v>0</v>
      </c>
      <c r="M32" s="388">
        <f t="shared" si="1"/>
        <v>0</v>
      </c>
      <c r="N32" s="388">
        <f t="shared" si="2"/>
        <v>0</v>
      </c>
      <c r="O32" s="388">
        <f t="shared" si="3"/>
        <v>0</v>
      </c>
    </row>
    <row r="33" spans="1:15" ht="15.75" outlineLevel="1">
      <c r="A33" s="326" t="s">
        <v>361</v>
      </c>
      <c r="B33" s="331">
        <v>71400</v>
      </c>
      <c r="C33" s="331">
        <v>73200</v>
      </c>
      <c r="D33" s="331">
        <v>75100</v>
      </c>
      <c r="E33" s="331">
        <v>77300</v>
      </c>
      <c r="F33" s="331">
        <v>84800</v>
      </c>
      <c r="G33" s="332">
        <f t="shared" si="5"/>
        <v>0</v>
      </c>
      <c r="H33" s="332">
        <f t="shared" si="5"/>
        <v>0</v>
      </c>
      <c r="I33" s="332">
        <f t="shared" si="5"/>
        <v>0</v>
      </c>
      <c r="J33" s="332">
        <f t="shared" si="5"/>
        <v>0</v>
      </c>
      <c r="L33" s="388">
        <f t="shared" si="4"/>
        <v>0</v>
      </c>
      <c r="M33" s="388">
        <f t="shared" si="1"/>
        <v>0</v>
      </c>
      <c r="N33" s="388">
        <f t="shared" si="2"/>
        <v>0</v>
      </c>
      <c r="O33" s="388">
        <f t="shared" si="3"/>
        <v>0</v>
      </c>
    </row>
    <row r="34" spans="1:15" ht="15.75" outlineLevel="1">
      <c r="A34" s="326" t="s">
        <v>362</v>
      </c>
      <c r="B34" s="331">
        <v>26100</v>
      </c>
      <c r="C34" s="331">
        <v>25200</v>
      </c>
      <c r="D34" s="331">
        <v>28300</v>
      </c>
      <c r="E34" s="331">
        <v>26500</v>
      </c>
      <c r="F34" s="331">
        <v>29300</v>
      </c>
      <c r="G34" s="332">
        <f t="shared" si="5"/>
        <v>0</v>
      </c>
      <c r="H34" s="332">
        <f t="shared" si="5"/>
        <v>0</v>
      </c>
      <c r="I34" s="332">
        <f t="shared" si="5"/>
        <v>0</v>
      </c>
      <c r="J34" s="332">
        <f t="shared" si="5"/>
        <v>1</v>
      </c>
      <c r="L34" s="388">
        <f t="shared" si="4"/>
        <v>0</v>
      </c>
      <c r="M34" s="388">
        <f t="shared" si="1"/>
        <v>0</v>
      </c>
      <c r="N34" s="388">
        <f t="shared" si="2"/>
        <v>0</v>
      </c>
      <c r="O34" s="388">
        <f t="shared" si="3"/>
        <v>1</v>
      </c>
    </row>
    <row r="35" spans="1:15" ht="15.75" outlineLevel="1">
      <c r="A35" s="326" t="s">
        <v>363</v>
      </c>
      <c r="B35" s="331">
        <v>26700</v>
      </c>
      <c r="C35" s="331">
        <v>25300</v>
      </c>
      <c r="D35" s="331">
        <v>21500</v>
      </c>
      <c r="E35" s="331">
        <v>24300</v>
      </c>
      <c r="F35" s="331">
        <v>26300</v>
      </c>
      <c r="G35" s="332">
        <f t="shared" si="5"/>
        <v>0</v>
      </c>
      <c r="H35" s="332">
        <f t="shared" si="5"/>
        <v>1</v>
      </c>
      <c r="I35" s="332">
        <f t="shared" si="5"/>
        <v>0</v>
      </c>
      <c r="J35" s="332">
        <f t="shared" si="5"/>
        <v>0</v>
      </c>
      <c r="L35" s="388">
        <f t="shared" si="4"/>
        <v>0</v>
      </c>
      <c r="M35" s="388">
        <f t="shared" si="1"/>
        <v>0.09623124771313575</v>
      </c>
      <c r="N35" s="388">
        <f t="shared" si="2"/>
        <v>0</v>
      </c>
      <c r="O35" s="388">
        <f t="shared" si="3"/>
        <v>0</v>
      </c>
    </row>
    <row r="36" spans="1:15" ht="15.75" outlineLevel="1">
      <c r="A36" s="326" t="s">
        <v>364</v>
      </c>
      <c r="B36" s="331">
        <v>16400</v>
      </c>
      <c r="C36" s="331">
        <v>17300</v>
      </c>
      <c r="D36" s="331">
        <v>24200</v>
      </c>
      <c r="E36" s="331">
        <v>21000</v>
      </c>
      <c r="F36" s="331">
        <v>17900</v>
      </c>
      <c r="G36" s="332">
        <f t="shared" si="5"/>
        <v>0</v>
      </c>
      <c r="H36" s="332">
        <f t="shared" si="5"/>
        <v>0</v>
      </c>
      <c r="I36" s="332">
        <f t="shared" si="5"/>
        <v>0</v>
      </c>
      <c r="J36" s="332">
        <f t="shared" si="5"/>
        <v>0</v>
      </c>
      <c r="L36" s="388">
        <f t="shared" si="4"/>
        <v>0</v>
      </c>
      <c r="M36" s="388">
        <f t="shared" si="1"/>
        <v>0</v>
      </c>
      <c r="N36" s="388">
        <f t="shared" si="2"/>
        <v>0</v>
      </c>
      <c r="O36" s="388">
        <f t="shared" si="3"/>
        <v>0</v>
      </c>
    </row>
    <row r="37" spans="1:15" ht="15.75" outlineLevel="1">
      <c r="A37" s="326" t="s">
        <v>365</v>
      </c>
      <c r="B37" s="331">
        <v>17900</v>
      </c>
      <c r="C37" s="331">
        <v>17500</v>
      </c>
      <c r="D37" s="331">
        <v>23000</v>
      </c>
      <c r="E37" s="331">
        <v>22700</v>
      </c>
      <c r="F37" s="331">
        <v>20700</v>
      </c>
      <c r="G37" s="332">
        <f t="shared" si="5"/>
        <v>0</v>
      </c>
      <c r="H37" s="332">
        <f t="shared" si="5"/>
        <v>0</v>
      </c>
      <c r="I37" s="332">
        <f t="shared" si="5"/>
        <v>0</v>
      </c>
      <c r="J37" s="332">
        <f t="shared" si="5"/>
        <v>0</v>
      </c>
      <c r="L37" s="388">
        <f t="shared" si="4"/>
        <v>0</v>
      </c>
      <c r="M37" s="388">
        <f t="shared" si="1"/>
        <v>0</v>
      </c>
      <c r="N37" s="388">
        <f t="shared" si="2"/>
        <v>0</v>
      </c>
      <c r="O37" s="388">
        <f t="shared" si="3"/>
        <v>0</v>
      </c>
    </row>
    <row r="38" spans="1:15" ht="15.75" outlineLevel="1">
      <c r="A38" s="326" t="s">
        <v>366</v>
      </c>
      <c r="B38" s="331">
        <v>23000</v>
      </c>
      <c r="C38" s="331">
        <v>23700</v>
      </c>
      <c r="D38" s="331">
        <v>27700</v>
      </c>
      <c r="E38" s="331">
        <v>34400</v>
      </c>
      <c r="F38" s="331">
        <v>36100</v>
      </c>
      <c r="G38" s="332">
        <f t="shared" si="5"/>
        <v>0</v>
      </c>
      <c r="H38" s="332">
        <f t="shared" si="5"/>
        <v>1</v>
      </c>
      <c r="I38" s="332">
        <f t="shared" si="5"/>
        <v>0</v>
      </c>
      <c r="J38" s="332">
        <f t="shared" si="5"/>
        <v>0</v>
      </c>
      <c r="L38" s="388">
        <f t="shared" si="4"/>
        <v>0</v>
      </c>
      <c r="M38" s="388">
        <f t="shared" si="1"/>
        <v>0.13208927918038785</v>
      </c>
      <c r="N38" s="388">
        <f t="shared" si="2"/>
        <v>0</v>
      </c>
      <c r="O38" s="388">
        <f t="shared" si="3"/>
        <v>0</v>
      </c>
    </row>
    <row r="39" spans="1:15" ht="15.75" outlineLevel="1">
      <c r="A39" s="326" t="s">
        <v>367</v>
      </c>
      <c r="B39" s="331">
        <v>30500</v>
      </c>
      <c r="C39" s="331">
        <v>32700.000000000004</v>
      </c>
      <c r="D39" s="331">
        <v>25500</v>
      </c>
      <c r="E39" s="331">
        <v>24600</v>
      </c>
      <c r="F39" s="331">
        <v>24300</v>
      </c>
      <c r="G39" s="332">
        <f t="shared" si="5"/>
        <v>0</v>
      </c>
      <c r="H39" s="332">
        <f t="shared" si="5"/>
        <v>0</v>
      </c>
      <c r="I39" s="332">
        <f t="shared" si="5"/>
        <v>0</v>
      </c>
      <c r="J39" s="332">
        <f t="shared" si="5"/>
        <v>0</v>
      </c>
      <c r="L39" s="388">
        <f t="shared" si="4"/>
        <v>0</v>
      </c>
      <c r="M39" s="388">
        <f t="shared" si="1"/>
        <v>0</v>
      </c>
      <c r="N39" s="388">
        <f t="shared" si="2"/>
        <v>0</v>
      </c>
      <c r="O39" s="388">
        <f t="shared" si="3"/>
        <v>0</v>
      </c>
    </row>
    <row r="40" spans="1:15" ht="15.75" outlineLevel="1">
      <c r="A40" s="326" t="s">
        <v>368</v>
      </c>
      <c r="B40" s="331">
        <v>59700</v>
      </c>
      <c r="C40" s="331">
        <v>59400</v>
      </c>
      <c r="D40" s="331">
        <v>58900</v>
      </c>
      <c r="E40" s="331">
        <v>61300</v>
      </c>
      <c r="F40" s="331">
        <v>58600</v>
      </c>
      <c r="G40" s="332">
        <f t="shared" si="5"/>
        <v>0</v>
      </c>
      <c r="H40" s="332">
        <f t="shared" si="5"/>
        <v>0</v>
      </c>
      <c r="I40" s="332">
        <f t="shared" si="5"/>
        <v>0</v>
      </c>
      <c r="J40" s="332">
        <f t="shared" si="5"/>
        <v>0</v>
      </c>
      <c r="L40" s="388">
        <f t="shared" si="4"/>
        <v>0</v>
      </c>
      <c r="M40" s="388">
        <f t="shared" si="1"/>
        <v>0</v>
      </c>
      <c r="N40" s="388">
        <f t="shared" si="2"/>
        <v>0</v>
      </c>
      <c r="O40" s="388">
        <f t="shared" si="3"/>
        <v>0</v>
      </c>
    </row>
    <row r="41" spans="1:15" ht="15.75" outlineLevel="1">
      <c r="A41" s="326" t="s">
        <v>369</v>
      </c>
      <c r="B41" s="331">
        <v>84500</v>
      </c>
      <c r="C41" s="331">
        <v>88800</v>
      </c>
      <c r="D41" s="331">
        <v>92100</v>
      </c>
      <c r="E41" s="331">
        <v>94600</v>
      </c>
      <c r="F41" s="331">
        <v>85100</v>
      </c>
      <c r="G41" s="332">
        <f t="shared" si="5"/>
        <v>0</v>
      </c>
      <c r="H41" s="332">
        <f t="shared" si="5"/>
        <v>0</v>
      </c>
      <c r="I41" s="332">
        <f t="shared" si="5"/>
        <v>0</v>
      </c>
      <c r="J41" s="332">
        <f t="shared" si="5"/>
        <v>0</v>
      </c>
      <c r="L41" s="388">
        <f t="shared" si="4"/>
        <v>0</v>
      </c>
      <c r="M41" s="388">
        <f t="shared" si="1"/>
        <v>0</v>
      </c>
      <c r="N41" s="388">
        <f t="shared" si="2"/>
        <v>0</v>
      </c>
      <c r="O41" s="388">
        <f t="shared" si="3"/>
        <v>0</v>
      </c>
    </row>
    <row r="42" spans="1:15" ht="15.75" outlineLevel="1">
      <c r="A42" s="326" t="s">
        <v>370</v>
      </c>
      <c r="B42" s="331">
        <v>49500</v>
      </c>
      <c r="C42" s="331">
        <v>51600</v>
      </c>
      <c r="D42" s="331">
        <v>51200</v>
      </c>
      <c r="E42" s="331">
        <v>47700</v>
      </c>
      <c r="F42" s="331">
        <v>52000</v>
      </c>
      <c r="G42" s="332">
        <f t="shared" si="5"/>
        <v>0</v>
      </c>
      <c r="H42" s="332">
        <f t="shared" si="5"/>
        <v>0</v>
      </c>
      <c r="I42" s="332">
        <f t="shared" si="5"/>
        <v>0</v>
      </c>
      <c r="J42" s="332">
        <f t="shared" si="5"/>
        <v>0</v>
      </c>
      <c r="L42" s="388">
        <f t="shared" si="4"/>
        <v>0</v>
      </c>
      <c r="M42" s="388">
        <f t="shared" si="1"/>
        <v>0</v>
      </c>
      <c r="N42" s="388">
        <f t="shared" si="2"/>
        <v>0</v>
      </c>
      <c r="O42" s="388">
        <f t="shared" si="3"/>
        <v>0</v>
      </c>
    </row>
    <row r="43" spans="1:15" ht="15.75" outlineLevel="1">
      <c r="A43" s="326" t="s">
        <v>371</v>
      </c>
      <c r="B43" s="331">
        <v>18700</v>
      </c>
      <c r="C43" s="331">
        <v>16600</v>
      </c>
      <c r="D43" s="331">
        <v>23000</v>
      </c>
      <c r="E43" s="331">
        <v>21500</v>
      </c>
      <c r="F43" s="331">
        <v>22400</v>
      </c>
      <c r="G43" s="332">
        <f t="shared" si="5"/>
        <v>1</v>
      </c>
      <c r="H43" s="332">
        <f t="shared" si="5"/>
        <v>0</v>
      </c>
      <c r="I43" s="332">
        <f t="shared" si="5"/>
        <v>0</v>
      </c>
      <c r="J43" s="332">
        <f t="shared" si="5"/>
        <v>0</v>
      </c>
      <c r="L43" s="388">
        <f t="shared" si="4"/>
        <v>1</v>
      </c>
      <c r="M43" s="388">
        <f t="shared" si="1"/>
        <v>0</v>
      </c>
      <c r="N43" s="388">
        <f t="shared" si="2"/>
        <v>0</v>
      </c>
      <c r="O43" s="388">
        <f t="shared" si="3"/>
        <v>0</v>
      </c>
    </row>
    <row r="44" spans="1:15" ht="15.75" outlineLevel="1">
      <c r="A44" s="326" t="s">
        <v>372</v>
      </c>
      <c r="B44" s="331">
        <v>18000</v>
      </c>
      <c r="C44" s="331">
        <v>18100</v>
      </c>
      <c r="D44" s="331">
        <v>17300</v>
      </c>
      <c r="E44" s="331">
        <v>16800</v>
      </c>
      <c r="F44" s="331">
        <v>14700</v>
      </c>
      <c r="G44" s="332">
        <f t="shared" si="5"/>
        <v>0</v>
      </c>
      <c r="H44" s="332">
        <f t="shared" si="5"/>
        <v>0</v>
      </c>
      <c r="I44" s="332">
        <f t="shared" si="5"/>
        <v>0</v>
      </c>
      <c r="J44" s="332">
        <f t="shared" si="5"/>
        <v>0</v>
      </c>
      <c r="L44" s="388">
        <f t="shared" si="4"/>
        <v>0</v>
      </c>
      <c r="M44" s="388">
        <f t="shared" si="1"/>
        <v>0</v>
      </c>
      <c r="N44" s="388">
        <f t="shared" si="2"/>
        <v>0</v>
      </c>
      <c r="O44" s="388">
        <f t="shared" si="3"/>
        <v>0</v>
      </c>
    </row>
    <row r="45" ht="14.25" outlineLevel="1"/>
    <row r="46" ht="18">
      <c r="A46" s="330" t="s">
        <v>375</v>
      </c>
    </row>
    <row r="47" spans="1:10" ht="15.75">
      <c r="A47" s="334" t="s">
        <v>245</v>
      </c>
      <c r="B47" s="331">
        <f aca="true" t="shared" si="6" ref="B47:F56">B3/B25</f>
        <v>18841.98659927119</v>
      </c>
      <c r="C47" s="331">
        <f t="shared" si="6"/>
        <v>20999.73537604457</v>
      </c>
      <c r="D47" s="331">
        <f t="shared" si="6"/>
        <v>22191.528095020556</v>
      </c>
      <c r="E47" s="331">
        <f t="shared" si="6"/>
        <v>22635.51292090838</v>
      </c>
      <c r="F47" s="331">
        <f t="shared" si="6"/>
        <v>23617.843092923355</v>
      </c>
      <c r="G47" s="335">
        <v>0</v>
      </c>
      <c r="H47" s="335">
        <v>0</v>
      </c>
      <c r="I47" s="335">
        <v>0</v>
      </c>
      <c r="J47" s="335">
        <v>0</v>
      </c>
    </row>
    <row r="48" spans="1:10" ht="15.75">
      <c r="A48" s="334" t="s">
        <v>354</v>
      </c>
      <c r="B48" s="331">
        <f t="shared" si="6"/>
        <v>9636.643929058662</v>
      </c>
      <c r="C48" s="331">
        <f t="shared" si="6"/>
        <v>9134.47780678851</v>
      </c>
      <c r="D48" s="331">
        <f t="shared" si="6"/>
        <v>9761.105047748977</v>
      </c>
      <c r="E48" s="331">
        <f t="shared" si="6"/>
        <v>9566.314325452016</v>
      </c>
      <c r="F48" s="331">
        <f t="shared" si="6"/>
        <v>10291.221719457013</v>
      </c>
      <c r="G48" s="335">
        <v>0</v>
      </c>
      <c r="H48" s="335">
        <v>0</v>
      </c>
      <c r="I48" s="335">
        <v>1</v>
      </c>
      <c r="J48" s="335">
        <v>0</v>
      </c>
    </row>
    <row r="49" spans="1:10" ht="15.75">
      <c r="A49" s="334" t="s">
        <v>355</v>
      </c>
      <c r="B49" s="331">
        <f t="shared" si="6"/>
        <v>21242.36842105263</v>
      </c>
      <c r="C49" s="331">
        <f t="shared" si="6"/>
        <v>30689.25925925926</v>
      </c>
      <c r="D49" s="331">
        <f t="shared" si="6"/>
        <v>33717.142857142855</v>
      </c>
      <c r="E49" s="331">
        <f t="shared" si="6"/>
        <v>37557.142857142855</v>
      </c>
      <c r="F49" s="331">
        <f t="shared" si="6"/>
        <v>29385.945945945947</v>
      </c>
      <c r="G49" s="335">
        <v>0</v>
      </c>
      <c r="H49" s="335">
        <v>1</v>
      </c>
      <c r="I49" s="335">
        <v>0</v>
      </c>
      <c r="J49" s="335">
        <v>0</v>
      </c>
    </row>
    <row r="50" spans="1:10" ht="15.75">
      <c r="A50" s="334" t="s">
        <v>356</v>
      </c>
      <c r="B50" s="331">
        <f t="shared" si="6"/>
        <v>19212.486631016043</v>
      </c>
      <c r="C50" s="331">
        <f t="shared" si="6"/>
        <v>20676.04020979021</v>
      </c>
      <c r="D50" s="331">
        <f t="shared" si="6"/>
        <v>20564.808163265305</v>
      </c>
      <c r="E50" s="331">
        <f t="shared" si="6"/>
        <v>20215.250596658712</v>
      </c>
      <c r="F50" s="331">
        <f t="shared" si="6"/>
        <v>21397.66835016835</v>
      </c>
      <c r="G50" s="335">
        <v>0</v>
      </c>
      <c r="H50" s="335">
        <v>1</v>
      </c>
      <c r="I50" s="335">
        <v>0</v>
      </c>
      <c r="J50" s="335">
        <v>0</v>
      </c>
    </row>
    <row r="51" spans="1:10" ht="15.75">
      <c r="A51" s="334" t="s">
        <v>357</v>
      </c>
      <c r="B51" s="331">
        <f t="shared" si="6"/>
        <v>49079.68503937008</v>
      </c>
      <c r="C51" s="331">
        <f t="shared" si="6"/>
        <v>54528.10344827586</v>
      </c>
      <c r="D51" s="331">
        <f t="shared" si="6"/>
        <v>58761.181818181816</v>
      </c>
      <c r="E51" s="331">
        <f t="shared" si="6"/>
        <v>56329.137931034486</v>
      </c>
      <c r="F51" s="331">
        <f t="shared" si="6"/>
        <v>62518.4</v>
      </c>
      <c r="G51" s="335">
        <v>0</v>
      </c>
      <c r="H51" s="335">
        <v>1</v>
      </c>
      <c r="I51" s="335">
        <v>0</v>
      </c>
      <c r="J51" s="335">
        <v>0</v>
      </c>
    </row>
    <row r="52" spans="1:10" ht="15.75">
      <c r="A52" s="334" t="s">
        <v>358</v>
      </c>
      <c r="B52" s="331">
        <f t="shared" si="6"/>
        <v>16635.858585858587</v>
      </c>
      <c r="C52" s="331">
        <f t="shared" si="6"/>
        <v>24036.103896103898</v>
      </c>
      <c r="D52" s="331">
        <f t="shared" si="6"/>
        <v>25872.5</v>
      </c>
      <c r="E52" s="331">
        <f t="shared" si="6"/>
        <v>28371.451612903227</v>
      </c>
      <c r="F52" s="331">
        <f t="shared" si="6"/>
        <v>34449.230769230766</v>
      </c>
      <c r="G52" s="335">
        <v>0</v>
      </c>
      <c r="H52" s="335">
        <v>1</v>
      </c>
      <c r="I52" s="335">
        <v>0</v>
      </c>
      <c r="J52" s="335">
        <v>0</v>
      </c>
    </row>
    <row r="53" spans="1:10" ht="15.75">
      <c r="A53" s="334" t="s">
        <v>359</v>
      </c>
      <c r="B53" s="331">
        <f t="shared" si="6"/>
        <v>13846.666666666666</v>
      </c>
      <c r="C53" s="331">
        <f t="shared" si="6"/>
        <v>17501.51067323481</v>
      </c>
      <c r="D53" s="331">
        <f t="shared" si="6"/>
        <v>19826.003210272873</v>
      </c>
      <c r="E53" s="331">
        <f t="shared" si="6"/>
        <v>19620.014858841012</v>
      </c>
      <c r="F53" s="331">
        <f t="shared" si="6"/>
        <v>19470.683060109288</v>
      </c>
      <c r="G53" s="335">
        <v>0</v>
      </c>
      <c r="H53" s="335">
        <v>1</v>
      </c>
      <c r="I53" s="335">
        <v>0</v>
      </c>
      <c r="J53" s="335">
        <v>0</v>
      </c>
    </row>
    <row r="54" spans="1:10" ht="15.75">
      <c r="A54" s="334" t="s">
        <v>360</v>
      </c>
      <c r="B54" s="331">
        <f t="shared" si="6"/>
        <v>18359.175864606328</v>
      </c>
      <c r="C54" s="331">
        <f t="shared" si="6"/>
        <v>19549.74302496329</v>
      </c>
      <c r="D54" s="331">
        <f t="shared" si="6"/>
        <v>21719.332810047097</v>
      </c>
      <c r="E54" s="331">
        <f t="shared" si="6"/>
        <v>21443.943028485755</v>
      </c>
      <c r="F54" s="331">
        <f t="shared" si="6"/>
        <v>22098.284202569917</v>
      </c>
      <c r="G54" s="335">
        <v>0</v>
      </c>
      <c r="H54" s="335">
        <v>0</v>
      </c>
      <c r="I54" s="335">
        <v>0</v>
      </c>
      <c r="J54" s="335">
        <v>0</v>
      </c>
    </row>
    <row r="55" spans="1:10" ht="15.75">
      <c r="A55" s="334" t="s">
        <v>361</v>
      </c>
      <c r="B55" s="331">
        <f t="shared" si="6"/>
        <v>23509.85994397759</v>
      </c>
      <c r="C55" s="331">
        <f t="shared" si="6"/>
        <v>25978.784153005465</v>
      </c>
      <c r="D55" s="331">
        <f t="shared" si="6"/>
        <v>27203.24900133156</v>
      </c>
      <c r="E55" s="331">
        <f t="shared" si="6"/>
        <v>26800.724450194048</v>
      </c>
      <c r="F55" s="331">
        <f t="shared" si="6"/>
        <v>24788.466981132075</v>
      </c>
      <c r="G55" s="335">
        <v>0</v>
      </c>
      <c r="H55" s="335">
        <v>0</v>
      </c>
      <c r="I55" s="335">
        <v>0</v>
      </c>
      <c r="J55" s="335">
        <v>0</v>
      </c>
    </row>
    <row r="56" spans="1:10" ht="15.75">
      <c r="A56" s="334" t="s">
        <v>362</v>
      </c>
      <c r="B56" s="331">
        <f t="shared" si="6"/>
        <v>9960.114942528735</v>
      </c>
      <c r="C56" s="331">
        <f t="shared" si="6"/>
        <v>12201.626984126984</v>
      </c>
      <c r="D56" s="331">
        <f t="shared" si="6"/>
        <v>10922.190812720848</v>
      </c>
      <c r="E56" s="331">
        <f t="shared" si="6"/>
        <v>13023.924528301886</v>
      </c>
      <c r="F56" s="331">
        <f t="shared" si="6"/>
        <v>12670.614334470989</v>
      </c>
      <c r="G56" s="335">
        <v>0</v>
      </c>
      <c r="H56" s="335">
        <v>0</v>
      </c>
      <c r="I56" s="335">
        <v>0</v>
      </c>
      <c r="J56" s="335">
        <v>1</v>
      </c>
    </row>
    <row r="57" spans="1:10" ht="15.75">
      <c r="A57" s="334" t="s">
        <v>363</v>
      </c>
      <c r="B57" s="331">
        <f aca="true" t="shared" si="7" ref="B57:F65">B13/B35</f>
        <v>27659.513108614232</v>
      </c>
      <c r="C57" s="331">
        <f t="shared" si="7"/>
        <v>30930.711462450592</v>
      </c>
      <c r="D57" s="331">
        <f t="shared" si="7"/>
        <v>39241.813953488374</v>
      </c>
      <c r="E57" s="331">
        <f t="shared" si="7"/>
        <v>37843.37448559671</v>
      </c>
      <c r="F57" s="331">
        <f t="shared" si="7"/>
        <v>36688.17490494296</v>
      </c>
      <c r="G57" s="335">
        <v>0</v>
      </c>
      <c r="H57" s="335">
        <v>1</v>
      </c>
      <c r="I57" s="335">
        <v>0</v>
      </c>
      <c r="J57" s="335">
        <v>0</v>
      </c>
    </row>
    <row r="58" spans="1:10" ht="15.75">
      <c r="A58" s="334" t="s">
        <v>364</v>
      </c>
      <c r="B58" s="331">
        <f t="shared" si="7"/>
        <v>32846.46341463415</v>
      </c>
      <c r="C58" s="331">
        <f t="shared" si="7"/>
        <v>42027.687861271676</v>
      </c>
      <c r="D58" s="331">
        <f t="shared" si="7"/>
        <v>33318.96694214876</v>
      </c>
      <c r="E58" s="331">
        <f t="shared" si="7"/>
        <v>38956.857142857145</v>
      </c>
      <c r="F58" s="331">
        <f t="shared" si="7"/>
        <v>52024.13407821229</v>
      </c>
      <c r="G58" s="335">
        <v>0</v>
      </c>
      <c r="H58" s="335">
        <v>0</v>
      </c>
      <c r="I58" s="335">
        <v>0</v>
      </c>
      <c r="J58" s="335">
        <v>0</v>
      </c>
    </row>
    <row r="59" spans="1:10" ht="15.75">
      <c r="A59" s="334" t="s">
        <v>365</v>
      </c>
      <c r="B59" s="331">
        <f t="shared" si="7"/>
        <v>91103.29608938548</v>
      </c>
      <c r="C59" s="331">
        <f t="shared" si="7"/>
        <v>113718.57142857143</v>
      </c>
      <c r="D59" s="331">
        <f t="shared" si="7"/>
        <v>100285.43478260869</v>
      </c>
      <c r="E59" s="331">
        <f t="shared" si="7"/>
        <v>111669.29515418502</v>
      </c>
      <c r="F59" s="331">
        <f t="shared" si="7"/>
        <v>125145.70048309179</v>
      </c>
      <c r="G59" s="335">
        <v>0</v>
      </c>
      <c r="H59" s="335">
        <v>0</v>
      </c>
      <c r="I59" s="335">
        <v>0</v>
      </c>
      <c r="J59" s="335">
        <v>0</v>
      </c>
    </row>
    <row r="60" spans="1:10" ht="15.75">
      <c r="A60" s="334" t="s">
        <v>366</v>
      </c>
      <c r="B60" s="331">
        <f t="shared" si="7"/>
        <v>31194.347826086956</v>
      </c>
      <c r="C60" s="331">
        <f t="shared" si="7"/>
        <v>34846.70886075949</v>
      </c>
      <c r="D60" s="331">
        <f t="shared" si="7"/>
        <v>31783.140794223826</v>
      </c>
      <c r="E60" s="331">
        <f t="shared" si="7"/>
        <v>25864.24418604651</v>
      </c>
      <c r="F60" s="331">
        <f t="shared" si="7"/>
        <v>25831.35734072022</v>
      </c>
      <c r="G60" s="335">
        <v>0</v>
      </c>
      <c r="H60" s="335">
        <v>1</v>
      </c>
      <c r="I60" s="335">
        <v>0</v>
      </c>
      <c r="J60" s="335">
        <v>0</v>
      </c>
    </row>
    <row r="61" spans="1:10" ht="15.75">
      <c r="A61" s="334" t="s">
        <v>367</v>
      </c>
      <c r="B61" s="331">
        <f t="shared" si="7"/>
        <v>14744.983606557376</v>
      </c>
      <c r="C61" s="331">
        <f t="shared" si="7"/>
        <v>17384.740061162076</v>
      </c>
      <c r="D61" s="331">
        <f t="shared" si="7"/>
        <v>23217.176470588234</v>
      </c>
      <c r="E61" s="331">
        <f t="shared" si="7"/>
        <v>25388.90243902439</v>
      </c>
      <c r="F61" s="331">
        <f t="shared" si="7"/>
        <v>26490.288065843622</v>
      </c>
      <c r="G61" s="335">
        <v>0</v>
      </c>
      <c r="H61" s="335">
        <v>0</v>
      </c>
      <c r="I61" s="335">
        <v>0</v>
      </c>
      <c r="J61" s="335">
        <v>0</v>
      </c>
    </row>
    <row r="62" spans="1:10" ht="15.75">
      <c r="A62" s="334" t="s">
        <v>368</v>
      </c>
      <c r="B62" s="331">
        <f t="shared" si="7"/>
        <v>20116.71691792295</v>
      </c>
      <c r="C62" s="331">
        <f t="shared" si="7"/>
        <v>22799.73063973064</v>
      </c>
      <c r="D62" s="331">
        <f t="shared" si="7"/>
        <v>24092.02037351443</v>
      </c>
      <c r="E62" s="331">
        <f t="shared" si="7"/>
        <v>23940.42414355628</v>
      </c>
      <c r="F62" s="331">
        <f t="shared" si="7"/>
        <v>26093.48122866894</v>
      </c>
      <c r="G62" s="335">
        <v>0</v>
      </c>
      <c r="H62" s="335">
        <v>0</v>
      </c>
      <c r="I62" s="335">
        <v>0</v>
      </c>
      <c r="J62" s="335">
        <v>0</v>
      </c>
    </row>
    <row r="63" spans="1:10" ht="15.75">
      <c r="A63" s="334" t="s">
        <v>369</v>
      </c>
      <c r="B63" s="331">
        <f t="shared" si="7"/>
        <v>9961.597633136094</v>
      </c>
      <c r="C63" s="331">
        <f t="shared" si="7"/>
        <v>10091.15990990991</v>
      </c>
      <c r="D63" s="331">
        <f t="shared" si="7"/>
        <v>10060.814332247557</v>
      </c>
      <c r="E63" s="331">
        <f t="shared" si="7"/>
        <v>10419.820295983087</v>
      </c>
      <c r="F63" s="331">
        <f t="shared" si="7"/>
        <v>11776.169212690951</v>
      </c>
      <c r="G63" s="335">
        <v>0</v>
      </c>
      <c r="H63" s="335">
        <v>0</v>
      </c>
      <c r="I63" s="335">
        <v>0</v>
      </c>
      <c r="J63" s="335">
        <v>0</v>
      </c>
    </row>
    <row r="64" spans="1:10" ht="15.75">
      <c r="A64" s="334" t="s">
        <v>370</v>
      </c>
      <c r="B64" s="331">
        <f t="shared" si="7"/>
        <v>10203.414141414141</v>
      </c>
      <c r="C64" s="331">
        <f t="shared" si="7"/>
        <v>10210.135658914729</v>
      </c>
      <c r="D64" s="331">
        <f t="shared" si="7"/>
        <v>11108.2421875</v>
      </c>
      <c r="E64" s="331">
        <f t="shared" si="7"/>
        <v>12838.17610062893</v>
      </c>
      <c r="F64" s="331">
        <f t="shared" si="7"/>
        <v>12906.884615384615</v>
      </c>
      <c r="G64" s="335">
        <v>0</v>
      </c>
      <c r="H64" s="335">
        <v>0</v>
      </c>
      <c r="I64" s="335">
        <v>0</v>
      </c>
      <c r="J64" s="335">
        <v>0</v>
      </c>
    </row>
    <row r="65" spans="1:10" ht="15.75">
      <c r="A65" s="334" t="s">
        <v>371</v>
      </c>
      <c r="B65" s="331">
        <f t="shared" si="7"/>
        <v>15351.44385026738</v>
      </c>
      <c r="C65" s="331">
        <f t="shared" si="7"/>
        <v>20564.518072289156</v>
      </c>
      <c r="D65" s="331">
        <f t="shared" si="7"/>
        <v>16286.347826086956</v>
      </c>
      <c r="E65" s="331">
        <f t="shared" si="7"/>
        <v>18982.13953488372</v>
      </c>
      <c r="F65" s="331">
        <f t="shared" si="7"/>
        <v>19691.964285714286</v>
      </c>
      <c r="G65" s="335">
        <v>1</v>
      </c>
      <c r="H65" s="335">
        <v>0</v>
      </c>
      <c r="I65" s="335">
        <v>0</v>
      </c>
      <c r="J65" s="335">
        <v>0</v>
      </c>
    </row>
    <row r="66" spans="1:10" ht="15.75">
      <c r="A66" s="334" t="s">
        <v>372</v>
      </c>
      <c r="B66" s="331">
        <f>B22/B44</f>
        <v>7067.055555555556</v>
      </c>
      <c r="C66" s="331">
        <f>C22/C44</f>
        <v>7615.8011049723755</v>
      </c>
      <c r="D66" s="331">
        <f>D22/D44</f>
        <v>9785.838150289017</v>
      </c>
      <c r="E66" s="331">
        <f>E22/E44</f>
        <v>10829.22619047619</v>
      </c>
      <c r="F66" s="331"/>
      <c r="G66" s="335">
        <v>0</v>
      </c>
      <c r="H66" s="335">
        <v>0</v>
      </c>
      <c r="I66" s="335">
        <v>0</v>
      </c>
      <c r="J66" s="335">
        <v>0</v>
      </c>
    </row>
    <row r="69" spans="2:5" ht="14.25">
      <c r="B69" s="329" t="s">
        <v>195</v>
      </c>
      <c r="C69" s="329" t="s">
        <v>321</v>
      </c>
      <c r="D69" s="329" t="s">
        <v>376</v>
      </c>
      <c r="E69" s="329" t="s">
        <v>377</v>
      </c>
    </row>
    <row r="70" spans="1:5" ht="81">
      <c r="A70" s="336" t="s">
        <v>382</v>
      </c>
      <c r="B70" s="337" t="s">
        <v>54</v>
      </c>
      <c r="C70" s="337" t="s">
        <v>55</v>
      </c>
      <c r="D70" s="337" t="s">
        <v>56</v>
      </c>
      <c r="E70" s="337" t="s">
        <v>57</v>
      </c>
    </row>
    <row r="71" spans="1:5" ht="46.5">
      <c r="A71" s="336" t="s">
        <v>378</v>
      </c>
      <c r="B71" s="337" t="s">
        <v>379</v>
      </c>
      <c r="C71" s="337" t="s">
        <v>381</v>
      </c>
      <c r="D71" s="337" t="s">
        <v>383</v>
      </c>
      <c r="E71" s="337" t="s">
        <v>384</v>
      </c>
    </row>
    <row r="72" spans="1:5" ht="14.25">
      <c r="A72" s="336" t="s">
        <v>385</v>
      </c>
      <c r="B72" s="338">
        <f>_xlfn.SUMIFS($F$3:$F$22,G3:G22,1)</f>
        <v>441100000</v>
      </c>
      <c r="C72" s="338">
        <f>_xlfn.SUMIFS($F$3:$F$22,H3:H22,1)</f>
        <v>6777756000</v>
      </c>
      <c r="D72" s="338">
        <f>_xlfn.SUMIFS($F$3:$F$22,I3:I22,1)</f>
        <v>682308000</v>
      </c>
      <c r="E72" s="338">
        <f>_xlfn.SUMIFS($F$3:$F$22,J3:J22,1)</f>
        <v>371249000</v>
      </c>
    </row>
    <row r="73" spans="1:5" ht="14.25">
      <c r="A73" s="336" t="s">
        <v>386</v>
      </c>
      <c r="B73" s="338">
        <f>_xlfn.SUMIFS($F$25:$F$44,G25:G44,1)</f>
        <v>22400</v>
      </c>
      <c r="C73" s="338">
        <f>_xlfn.SUMIFS($F$25:$F$44,H25:H44,1)</f>
        <v>273300</v>
      </c>
      <c r="D73" s="338">
        <f>_xlfn.SUMIFS($F$25:$F$44,I25:I44,1)</f>
        <v>66300</v>
      </c>
      <c r="E73" s="338">
        <f>_xlfn.SUMIFS($F$25:$F$44,J25:J44,1)</f>
        <v>29300</v>
      </c>
    </row>
    <row r="74" spans="1:5" ht="14.25">
      <c r="A74" s="336" t="s">
        <v>387</v>
      </c>
      <c r="B74" s="338">
        <f>B72/B73</f>
        <v>19691.964285714286</v>
      </c>
      <c r="C74" s="338">
        <f>C72/C73</f>
        <v>24799.692645444567</v>
      </c>
      <c r="D74" s="338">
        <f>D72/D73</f>
        <v>10291.221719457013</v>
      </c>
      <c r="E74" s="338">
        <f>E72/E73</f>
        <v>12670.614334470989</v>
      </c>
    </row>
  </sheetData>
  <sheetProtection/>
  <protectedRanges>
    <protectedRange sqref="C70" name="Range3"/>
  </protectedRanges>
  <mergeCells count="1">
    <mergeCell ref="L23:O23"/>
  </mergeCells>
  <printOptions/>
  <pageMargins left="0.75" right="0.75" top="0.75" bottom="0.5" header="0.5" footer="0.75"/>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theme="0" tint="-0.24997000396251678"/>
  </sheetPr>
  <dimension ref="A1:T122"/>
  <sheetViews>
    <sheetView zoomScale="55" zoomScaleNormal="55" zoomScalePageLayoutView="0" workbookViewId="0" topLeftCell="A94">
      <selection activeCell="B93" sqref="B93"/>
    </sheetView>
  </sheetViews>
  <sheetFormatPr defaultColWidth="9.00390625" defaultRowHeight="15.75"/>
  <cols>
    <col min="1" max="1" width="28.125" style="320" customWidth="1"/>
    <col min="2" max="2" width="37.00390625" style="320" customWidth="1"/>
    <col min="3" max="11" width="16.125" style="323" customWidth="1"/>
    <col min="12" max="12" width="13.375" style="320" customWidth="1"/>
    <col min="13" max="16384" width="8.75390625" style="320" customWidth="1"/>
  </cols>
  <sheetData>
    <row r="1" spans="1:16" ht="144">
      <c r="A1" s="381">
        <v>2010</v>
      </c>
      <c r="B1" s="380" t="s">
        <v>574</v>
      </c>
      <c r="C1" s="322" t="s">
        <v>417</v>
      </c>
      <c r="D1" s="322" t="s">
        <v>418</v>
      </c>
      <c r="E1" s="322" t="s">
        <v>419</v>
      </c>
      <c r="F1" s="322" t="s">
        <v>420</v>
      </c>
      <c r="G1" s="322" t="s">
        <v>421</v>
      </c>
      <c r="H1" s="322" t="s">
        <v>159</v>
      </c>
      <c r="I1" s="322" t="s">
        <v>422</v>
      </c>
      <c r="J1" s="322" t="s">
        <v>423</v>
      </c>
      <c r="K1" s="322" t="s">
        <v>424</v>
      </c>
      <c r="L1" s="322" t="s">
        <v>425</v>
      </c>
      <c r="M1" s="340" t="s">
        <v>195</v>
      </c>
      <c r="N1" s="340" t="s">
        <v>321</v>
      </c>
      <c r="O1" s="340" t="s">
        <v>376</v>
      </c>
      <c r="P1" s="340" t="s">
        <v>377</v>
      </c>
    </row>
    <row r="2" spans="1:16" ht="15">
      <c r="A2" s="320" t="str">
        <f>LEFT(B2,4)</f>
        <v>PAVI</v>
      </c>
      <c r="B2" s="321" t="s">
        <v>426</v>
      </c>
      <c r="C2" s="323">
        <v>665</v>
      </c>
      <c r="D2" s="323">
        <v>1394</v>
      </c>
      <c r="E2" s="323">
        <v>907</v>
      </c>
      <c r="F2" s="323">
        <v>674</v>
      </c>
      <c r="G2" s="323">
        <v>538</v>
      </c>
      <c r="H2" s="323">
        <v>518</v>
      </c>
      <c r="I2" s="323">
        <v>464</v>
      </c>
      <c r="J2" s="323">
        <v>543</v>
      </c>
      <c r="K2" s="323">
        <v>400</v>
      </c>
      <c r="L2" s="375">
        <f>INDEX('Algu izmainas'!F:F,MATCH(A2,'Algu izmainas'!A:A,0))</f>
        <v>0.3044822256568779</v>
      </c>
      <c r="M2" s="335">
        <v>0</v>
      </c>
      <c r="N2" s="335">
        <v>0</v>
      </c>
      <c r="O2" s="335">
        <v>0</v>
      </c>
      <c r="P2" s="335">
        <v>0</v>
      </c>
    </row>
    <row r="3" spans="1:16" ht="15">
      <c r="A3" s="320" t="str">
        <f>RIGHT(B3,3)</f>
        <v>(A)</v>
      </c>
      <c r="B3" s="321" t="s">
        <v>427</v>
      </c>
      <c r="C3" s="323">
        <v>622</v>
      </c>
      <c r="D3" s="376" t="s">
        <v>72</v>
      </c>
      <c r="E3" s="323">
        <v>1041</v>
      </c>
      <c r="F3" s="323">
        <v>612</v>
      </c>
      <c r="G3" s="323">
        <v>553</v>
      </c>
      <c r="H3" s="323">
        <v>503</v>
      </c>
      <c r="I3" s="323">
        <v>429</v>
      </c>
      <c r="J3" s="323">
        <v>393</v>
      </c>
      <c r="K3" s="323">
        <v>329</v>
      </c>
      <c r="L3" s="375">
        <f>INDEX('Algu izmainas'!F:F,MATCH(A3,'Algu izmainas'!A:A,0))</f>
        <v>0.28892455858747995</v>
      </c>
      <c r="M3" s="335">
        <v>0</v>
      </c>
      <c r="N3" s="335">
        <v>0</v>
      </c>
      <c r="O3" s="335">
        <v>1</v>
      </c>
      <c r="P3" s="335">
        <v>0</v>
      </c>
    </row>
    <row r="4" spans="1:16" ht="15">
      <c r="A4" s="320" t="str">
        <f aca="true" t="shared" si="0" ref="A4:A21">RIGHT(B4,3)</f>
        <v>(B)</v>
      </c>
      <c r="B4" s="321" t="s">
        <v>428</v>
      </c>
      <c r="C4" s="323">
        <v>760</v>
      </c>
      <c r="D4" s="376" t="s">
        <v>70</v>
      </c>
      <c r="E4" s="323">
        <v>1080</v>
      </c>
      <c r="F4" s="323">
        <v>647</v>
      </c>
      <c r="G4" s="323">
        <v>760</v>
      </c>
      <c r="H4" s="323">
        <v>643</v>
      </c>
      <c r="I4" s="323">
        <v>642</v>
      </c>
      <c r="J4" s="323">
        <v>769</v>
      </c>
      <c r="K4" s="376" t="s">
        <v>373</v>
      </c>
      <c r="L4" s="375">
        <f>INDEX('Algu izmainas'!F:F,MATCH(A4,'Algu izmainas'!A:A,0))</f>
        <v>0.3351278600269179</v>
      </c>
      <c r="M4" s="335">
        <v>0</v>
      </c>
      <c r="N4" s="335">
        <v>1</v>
      </c>
      <c r="O4" s="335">
        <v>0</v>
      </c>
      <c r="P4" s="335">
        <v>0</v>
      </c>
    </row>
    <row r="5" spans="1:16" ht="15">
      <c r="A5" s="320" t="str">
        <f t="shared" si="0"/>
        <v>(C)</v>
      </c>
      <c r="B5" s="321" t="s">
        <v>429</v>
      </c>
      <c r="C5" s="323">
        <v>592</v>
      </c>
      <c r="D5" s="323">
        <v>1321</v>
      </c>
      <c r="E5" s="323">
        <v>832</v>
      </c>
      <c r="F5" s="323">
        <v>676</v>
      </c>
      <c r="G5" s="323">
        <v>552</v>
      </c>
      <c r="H5" s="323">
        <v>531</v>
      </c>
      <c r="I5" s="323">
        <v>488</v>
      </c>
      <c r="J5" s="323">
        <v>392</v>
      </c>
      <c r="K5" s="323">
        <v>346</v>
      </c>
      <c r="L5" s="375">
        <f>INDEX('Algu izmainas'!F:F,MATCH(A5,'Algu izmainas'!A:A,0))</f>
        <v>0.34179357021996615</v>
      </c>
      <c r="M5" s="335">
        <v>0</v>
      </c>
      <c r="N5" s="335">
        <v>1</v>
      </c>
      <c r="O5" s="335">
        <v>0</v>
      </c>
      <c r="P5" s="335">
        <v>0</v>
      </c>
    </row>
    <row r="6" spans="1:16" ht="15">
      <c r="A6" s="320" t="str">
        <f t="shared" si="0"/>
        <v>(D)</v>
      </c>
      <c r="B6" s="321" t="s">
        <v>430</v>
      </c>
      <c r="C6" s="323">
        <v>781</v>
      </c>
      <c r="D6" s="323">
        <v>1262</v>
      </c>
      <c r="E6" s="323">
        <v>1197</v>
      </c>
      <c r="F6" s="323">
        <v>877</v>
      </c>
      <c r="G6" s="323">
        <v>681</v>
      </c>
      <c r="H6" s="323">
        <v>577</v>
      </c>
      <c r="I6" s="323">
        <v>497</v>
      </c>
      <c r="J6" s="323">
        <v>544</v>
      </c>
      <c r="K6" s="376" t="s">
        <v>373</v>
      </c>
      <c r="L6" s="375">
        <f>INDEX('Algu izmainas'!F:F,MATCH(A6,'Algu izmainas'!A:A,0))</f>
        <v>0.18340611353711792</v>
      </c>
      <c r="M6" s="335">
        <v>0</v>
      </c>
      <c r="N6" s="335">
        <v>1</v>
      </c>
      <c r="O6" s="335">
        <v>0</v>
      </c>
      <c r="P6" s="335">
        <v>0</v>
      </c>
    </row>
    <row r="7" spans="1:16" ht="15">
      <c r="A7" s="320" t="str">
        <f t="shared" si="0"/>
        <v>(E)</v>
      </c>
      <c r="B7" s="321" t="s">
        <v>431</v>
      </c>
      <c r="C7" s="323">
        <v>665</v>
      </c>
      <c r="D7" s="323">
        <v>2346</v>
      </c>
      <c r="E7" s="323">
        <v>990</v>
      </c>
      <c r="F7" s="323">
        <v>779</v>
      </c>
      <c r="G7" s="323">
        <v>619</v>
      </c>
      <c r="H7" s="323">
        <v>569</v>
      </c>
      <c r="I7" s="323">
        <v>522</v>
      </c>
      <c r="J7" s="323">
        <v>434</v>
      </c>
      <c r="K7" s="376" t="s">
        <v>72</v>
      </c>
      <c r="L7" s="375">
        <f>INDEX('Algu izmainas'!F:F,MATCH(A7,'Algu izmainas'!A:A,0))</f>
        <v>0.2038404726735598</v>
      </c>
      <c r="M7" s="335">
        <v>0</v>
      </c>
      <c r="N7" s="335">
        <v>1</v>
      </c>
      <c r="O7" s="335">
        <v>0</v>
      </c>
      <c r="P7" s="335">
        <v>0</v>
      </c>
    </row>
    <row r="8" spans="1:16" ht="15">
      <c r="A8" s="320" t="str">
        <f t="shared" si="0"/>
        <v>(F)</v>
      </c>
      <c r="B8" s="321" t="s">
        <v>432</v>
      </c>
      <c r="C8" s="323">
        <v>606</v>
      </c>
      <c r="D8" s="323">
        <v>1369</v>
      </c>
      <c r="E8" s="323">
        <v>817</v>
      </c>
      <c r="F8" s="323">
        <v>603</v>
      </c>
      <c r="G8" s="323">
        <v>551</v>
      </c>
      <c r="H8" s="323">
        <v>518</v>
      </c>
      <c r="I8" s="323">
        <v>527</v>
      </c>
      <c r="J8" s="323">
        <v>589</v>
      </c>
      <c r="K8" s="323">
        <v>359</v>
      </c>
      <c r="L8" s="375">
        <f>INDEX('Algu izmainas'!F:F,MATCH(A8,'Algu izmainas'!A:A,0))</f>
        <v>0.37</v>
      </c>
      <c r="M8" s="335">
        <v>0</v>
      </c>
      <c r="N8" s="335">
        <v>1</v>
      </c>
      <c r="O8" s="335">
        <v>0</v>
      </c>
      <c r="P8" s="335">
        <v>0</v>
      </c>
    </row>
    <row r="9" spans="1:16" ht="15">
      <c r="A9" s="320" t="str">
        <f t="shared" si="0"/>
        <v>(G)</v>
      </c>
      <c r="B9" s="321" t="s">
        <v>433</v>
      </c>
      <c r="C9" s="323">
        <v>578</v>
      </c>
      <c r="D9" s="323">
        <v>936</v>
      </c>
      <c r="E9" s="323">
        <v>827</v>
      </c>
      <c r="F9" s="323">
        <v>663</v>
      </c>
      <c r="G9" s="323">
        <v>498</v>
      </c>
      <c r="H9" s="323">
        <v>470</v>
      </c>
      <c r="I9" s="323">
        <v>425</v>
      </c>
      <c r="J9" s="323">
        <v>325</v>
      </c>
      <c r="K9" s="323">
        <v>353</v>
      </c>
      <c r="L9" s="375">
        <f>INDEX('Algu izmainas'!F:F,MATCH(A9,'Algu izmainas'!A:A,0))</f>
        <v>0.40977443609022557</v>
      </c>
      <c r="M9" s="335">
        <v>0</v>
      </c>
      <c r="N9" s="335">
        <v>0</v>
      </c>
      <c r="O9" s="335">
        <v>0</v>
      </c>
      <c r="P9" s="335">
        <v>0</v>
      </c>
    </row>
    <row r="10" spans="1:16" ht="15">
      <c r="A10" s="320" t="str">
        <f t="shared" si="0"/>
        <v>(H)</v>
      </c>
      <c r="B10" s="321" t="s">
        <v>434</v>
      </c>
      <c r="C10" s="323">
        <v>730</v>
      </c>
      <c r="D10" s="323">
        <v>2292</v>
      </c>
      <c r="E10" s="323">
        <v>1055</v>
      </c>
      <c r="F10" s="323">
        <v>873</v>
      </c>
      <c r="G10" s="323">
        <v>660</v>
      </c>
      <c r="H10" s="323">
        <v>652</v>
      </c>
      <c r="I10" s="323">
        <v>584</v>
      </c>
      <c r="J10" s="323">
        <v>768</v>
      </c>
      <c r="K10" s="376" t="s">
        <v>373</v>
      </c>
      <c r="L10" s="375">
        <f>INDEX('Algu izmainas'!F:F,MATCH(A10,'Algu izmainas'!A:A,0))</f>
        <v>0.26778242677824265</v>
      </c>
      <c r="M10" s="335">
        <v>0</v>
      </c>
      <c r="N10" s="335">
        <v>0</v>
      </c>
      <c r="O10" s="335">
        <v>0</v>
      </c>
      <c r="P10" s="335">
        <v>0</v>
      </c>
    </row>
    <row r="11" spans="1:16" ht="15">
      <c r="A11" s="320" t="str">
        <f t="shared" si="0"/>
        <v>(I)</v>
      </c>
      <c r="B11" s="321" t="s">
        <v>435</v>
      </c>
      <c r="C11" s="323">
        <v>486</v>
      </c>
      <c r="D11" s="323">
        <v>700</v>
      </c>
      <c r="E11" s="323">
        <v>678</v>
      </c>
      <c r="F11" s="323">
        <v>517</v>
      </c>
      <c r="G11" s="323">
        <v>418</v>
      </c>
      <c r="H11" s="323">
        <v>504</v>
      </c>
      <c r="I11" s="323">
        <v>395</v>
      </c>
      <c r="J11" s="323">
        <v>313</v>
      </c>
      <c r="K11" s="376" t="s">
        <v>70</v>
      </c>
      <c r="L11" s="375">
        <f>INDEX('Algu izmainas'!F:F,MATCH(A11,'Algu izmainas'!A:A,0))</f>
        <v>0.35049019607843135</v>
      </c>
      <c r="M11" s="335">
        <v>0</v>
      </c>
      <c r="N11" s="335">
        <v>0</v>
      </c>
      <c r="O11" s="335">
        <v>0</v>
      </c>
      <c r="P11" s="335">
        <v>1</v>
      </c>
    </row>
    <row r="12" spans="1:16" ht="15">
      <c r="A12" s="320" t="str">
        <f t="shared" si="0"/>
        <v>(J)</v>
      </c>
      <c r="B12" s="321" t="s">
        <v>436</v>
      </c>
      <c r="C12" s="323">
        <v>1021</v>
      </c>
      <c r="D12" s="323">
        <v>914</v>
      </c>
      <c r="E12" s="323">
        <v>1199</v>
      </c>
      <c r="F12" s="323">
        <v>856</v>
      </c>
      <c r="G12" s="323">
        <v>685</v>
      </c>
      <c r="H12" s="323">
        <v>777</v>
      </c>
      <c r="I12" s="323">
        <v>444</v>
      </c>
      <c r="J12" s="376" t="s">
        <v>72</v>
      </c>
      <c r="K12" s="376" t="s">
        <v>72</v>
      </c>
      <c r="L12" s="375">
        <f>INDEX('Algu izmainas'!F:F,MATCH(A12,'Algu izmainas'!A:A,0))</f>
        <v>0.1994750656167979</v>
      </c>
      <c r="M12" s="335">
        <v>0</v>
      </c>
      <c r="N12" s="335">
        <v>1</v>
      </c>
      <c r="O12" s="335">
        <v>0</v>
      </c>
      <c r="P12" s="335">
        <v>0</v>
      </c>
    </row>
    <row r="13" spans="1:16" ht="15">
      <c r="A13" s="320" t="str">
        <f t="shared" si="0"/>
        <v>(K)</v>
      </c>
      <c r="B13" s="321" t="s">
        <v>437</v>
      </c>
      <c r="C13" s="323">
        <v>1398</v>
      </c>
      <c r="D13" s="323">
        <v>2416</v>
      </c>
      <c r="E13" s="323">
        <v>1644</v>
      </c>
      <c r="F13" s="323">
        <v>1338</v>
      </c>
      <c r="G13" s="323">
        <v>871</v>
      </c>
      <c r="H13" s="323">
        <v>793</v>
      </c>
      <c r="I13" s="323">
        <v>522</v>
      </c>
      <c r="J13" s="376" t="s">
        <v>72</v>
      </c>
      <c r="K13" s="376" t="s">
        <v>373</v>
      </c>
      <c r="L13" s="375">
        <f>INDEX('Algu izmainas'!F:F,MATCH(A13,'Algu izmainas'!A:A,0))</f>
        <v>0.3379204892966361</v>
      </c>
      <c r="M13" s="335">
        <v>0</v>
      </c>
      <c r="N13" s="335">
        <v>0</v>
      </c>
      <c r="O13" s="335">
        <v>0</v>
      </c>
      <c r="P13" s="335">
        <v>0</v>
      </c>
    </row>
    <row r="14" spans="1:16" ht="15">
      <c r="A14" s="320" t="str">
        <f t="shared" si="0"/>
        <v>(L)</v>
      </c>
      <c r="B14" s="321" t="s">
        <v>438</v>
      </c>
      <c r="C14" s="323">
        <v>596</v>
      </c>
      <c r="D14" s="323">
        <v>639</v>
      </c>
      <c r="E14" s="323">
        <v>840</v>
      </c>
      <c r="F14" s="323">
        <v>615</v>
      </c>
      <c r="G14" s="323">
        <v>507</v>
      </c>
      <c r="H14" s="323">
        <v>463</v>
      </c>
      <c r="I14" s="323">
        <v>424</v>
      </c>
      <c r="J14" s="323">
        <v>419</v>
      </c>
      <c r="K14" s="376" t="s">
        <v>373</v>
      </c>
      <c r="L14" s="375">
        <f>INDEX('Algu izmainas'!F:F,MATCH(A14,'Algu izmainas'!A:A,0))</f>
        <v>0.45179584120982985</v>
      </c>
      <c r="M14" s="335">
        <v>0</v>
      </c>
      <c r="N14" s="335">
        <v>0</v>
      </c>
      <c r="O14" s="335">
        <v>0</v>
      </c>
      <c r="P14" s="335">
        <v>0</v>
      </c>
    </row>
    <row r="15" spans="1:16" ht="15">
      <c r="A15" s="320" t="str">
        <f t="shared" si="0"/>
        <v>(M)</v>
      </c>
      <c r="B15" s="321" t="s">
        <v>439</v>
      </c>
      <c r="C15" s="323">
        <v>875</v>
      </c>
      <c r="D15" s="323">
        <v>1269</v>
      </c>
      <c r="E15" s="323">
        <v>1017</v>
      </c>
      <c r="F15" s="323">
        <v>575</v>
      </c>
      <c r="G15" s="323">
        <v>560</v>
      </c>
      <c r="H15" s="323">
        <v>509</v>
      </c>
      <c r="I15" s="323">
        <v>561</v>
      </c>
      <c r="J15" s="376" t="s">
        <v>72</v>
      </c>
      <c r="K15" s="376" t="s">
        <v>70</v>
      </c>
      <c r="L15" s="375">
        <f>INDEX('Algu izmainas'!F:F,MATCH(A15,'Algu izmainas'!A:A,0))</f>
        <v>0.10892236384704519</v>
      </c>
      <c r="M15" s="335">
        <v>0</v>
      </c>
      <c r="N15" s="335">
        <v>1</v>
      </c>
      <c r="O15" s="335">
        <v>0</v>
      </c>
      <c r="P15" s="335">
        <v>0</v>
      </c>
    </row>
    <row r="16" spans="1:16" ht="15">
      <c r="A16" s="320" t="str">
        <f t="shared" si="0"/>
        <v>(N)</v>
      </c>
      <c r="B16" s="321" t="s">
        <v>440</v>
      </c>
      <c r="C16" s="323">
        <v>650</v>
      </c>
      <c r="D16" s="376" t="s">
        <v>373</v>
      </c>
      <c r="E16" s="323">
        <v>875</v>
      </c>
      <c r="F16" s="323">
        <v>605</v>
      </c>
      <c r="G16" s="323">
        <v>576</v>
      </c>
      <c r="H16" s="323">
        <v>559</v>
      </c>
      <c r="I16" s="323">
        <v>498</v>
      </c>
      <c r="J16" s="376" t="s">
        <v>373</v>
      </c>
      <c r="K16" s="376" t="s">
        <v>70</v>
      </c>
      <c r="L16" s="375">
        <f>INDEX('Algu izmainas'!F:F,MATCH(A16,'Algu izmainas'!A:A,0))</f>
        <v>0.16586921850079744</v>
      </c>
      <c r="M16" s="335">
        <v>0</v>
      </c>
      <c r="N16" s="335">
        <v>0</v>
      </c>
      <c r="O16" s="335">
        <v>0</v>
      </c>
      <c r="P16" s="335">
        <v>0</v>
      </c>
    </row>
    <row r="17" spans="1:16" ht="15">
      <c r="A17" s="320" t="str">
        <f t="shared" si="0"/>
        <v>(O)</v>
      </c>
      <c r="B17" s="321" t="s">
        <v>441</v>
      </c>
      <c r="C17" s="323">
        <v>816</v>
      </c>
      <c r="D17" s="323">
        <v>1295</v>
      </c>
      <c r="E17" s="323">
        <v>981</v>
      </c>
      <c r="F17" s="323">
        <v>700</v>
      </c>
      <c r="G17" s="323">
        <v>575</v>
      </c>
      <c r="H17" s="323">
        <v>562</v>
      </c>
      <c r="I17" s="323">
        <v>437</v>
      </c>
      <c r="J17" s="323">
        <v>392</v>
      </c>
      <c r="K17" s="376" t="s">
        <v>373</v>
      </c>
      <c r="L17" s="375">
        <f>INDEX('Algu izmainas'!F:F,MATCH(A17,'Algu izmainas'!A:A,0))</f>
        <v>0.39569313593539707</v>
      </c>
      <c r="M17" s="335">
        <v>0</v>
      </c>
      <c r="N17" s="335">
        <v>0</v>
      </c>
      <c r="O17" s="335">
        <v>0</v>
      </c>
      <c r="P17" s="335">
        <v>0</v>
      </c>
    </row>
    <row r="18" spans="1:16" ht="15">
      <c r="A18" s="320" t="str">
        <f t="shared" si="0"/>
        <v>(P)</v>
      </c>
      <c r="B18" s="321" t="s">
        <v>442</v>
      </c>
      <c r="C18" s="323">
        <v>571</v>
      </c>
      <c r="D18" s="323">
        <v>1475</v>
      </c>
      <c r="E18" s="323">
        <v>685</v>
      </c>
      <c r="F18" s="323">
        <v>529</v>
      </c>
      <c r="G18" s="323">
        <v>368</v>
      </c>
      <c r="H18" s="323">
        <v>355</v>
      </c>
      <c r="I18" s="323">
        <v>322</v>
      </c>
      <c r="J18" s="323">
        <v>306</v>
      </c>
      <c r="K18" s="323">
        <v>300</v>
      </c>
      <c r="L18" s="375">
        <f>INDEX('Algu izmainas'!F:F,MATCH(A18,'Algu izmainas'!A:A,0))</f>
        <v>0.18416523235800344</v>
      </c>
      <c r="M18" s="335">
        <v>0</v>
      </c>
      <c r="N18" s="335">
        <v>0</v>
      </c>
      <c r="O18" s="335">
        <v>0</v>
      </c>
      <c r="P18" s="335">
        <v>0</v>
      </c>
    </row>
    <row r="19" spans="1:16" ht="15">
      <c r="A19" s="320" t="str">
        <f t="shared" si="0"/>
        <v>(Q)</v>
      </c>
      <c r="B19" s="321" t="s">
        <v>443</v>
      </c>
      <c r="C19" s="323">
        <v>670</v>
      </c>
      <c r="D19" s="323">
        <v>1583</v>
      </c>
      <c r="E19" s="323">
        <v>955</v>
      </c>
      <c r="F19" s="323">
        <v>615</v>
      </c>
      <c r="G19" s="323">
        <v>566</v>
      </c>
      <c r="H19" s="323">
        <v>439</v>
      </c>
      <c r="I19" s="323">
        <v>398</v>
      </c>
      <c r="J19" s="323">
        <v>359</v>
      </c>
      <c r="K19" s="323">
        <v>360</v>
      </c>
      <c r="L19" s="375">
        <f>INDEX('Algu izmainas'!F:F,MATCH(A19,'Algu izmainas'!A:A,0))</f>
        <v>0.2684887459807074</v>
      </c>
      <c r="M19" s="335">
        <v>0</v>
      </c>
      <c r="N19" s="335">
        <v>0</v>
      </c>
      <c r="O19" s="335">
        <v>0</v>
      </c>
      <c r="P19" s="335">
        <v>0</v>
      </c>
    </row>
    <row r="20" spans="1:16" ht="15">
      <c r="A20" s="320" t="str">
        <f t="shared" si="0"/>
        <v>(R)</v>
      </c>
      <c r="B20" s="321" t="s">
        <v>444</v>
      </c>
      <c r="C20" s="323">
        <v>547</v>
      </c>
      <c r="D20" s="323">
        <v>1013</v>
      </c>
      <c r="E20" s="323">
        <v>643</v>
      </c>
      <c r="F20" s="323">
        <v>577</v>
      </c>
      <c r="G20" s="323">
        <v>474</v>
      </c>
      <c r="H20" s="323">
        <v>488</v>
      </c>
      <c r="I20" s="323">
        <v>389</v>
      </c>
      <c r="J20" s="323">
        <v>327</v>
      </c>
      <c r="K20" s="376" t="s">
        <v>72</v>
      </c>
      <c r="L20" s="375">
        <f>INDEX('Algu izmainas'!F:F,MATCH(A20,'Algu izmainas'!A:A,0))</f>
        <v>0.4105461393596987</v>
      </c>
      <c r="M20" s="335">
        <v>1</v>
      </c>
      <c r="N20" s="335">
        <v>0</v>
      </c>
      <c r="O20" s="335">
        <v>0</v>
      </c>
      <c r="P20" s="335">
        <v>0</v>
      </c>
    </row>
    <row r="21" spans="1:16" ht="15">
      <c r="A21" s="320" t="str">
        <f t="shared" si="0"/>
        <v>(S)</v>
      </c>
      <c r="B21" s="321" t="s">
        <v>445</v>
      </c>
      <c r="C21" s="323">
        <v>538</v>
      </c>
      <c r="D21" s="323">
        <v>1451</v>
      </c>
      <c r="E21" s="323">
        <v>858</v>
      </c>
      <c r="F21" s="323">
        <v>423</v>
      </c>
      <c r="G21" s="323">
        <v>380</v>
      </c>
      <c r="H21" s="323">
        <v>446</v>
      </c>
      <c r="I21" s="323">
        <v>408</v>
      </c>
      <c r="J21" s="376" t="s">
        <v>373</v>
      </c>
      <c r="K21" s="376" t="s">
        <v>70</v>
      </c>
      <c r="L21" s="375">
        <f>INDEX('Algu izmainas'!F:F,MATCH(A21,'Algu izmainas'!A:A,0))</f>
        <v>0.3214990138067061</v>
      </c>
      <c r="M21" s="335">
        <v>0</v>
      </c>
      <c r="N21" s="335">
        <v>0</v>
      </c>
      <c r="O21" s="335">
        <v>0</v>
      </c>
      <c r="P21" s="335">
        <v>0</v>
      </c>
    </row>
    <row r="23" spans="1:16" ht="144">
      <c r="A23" s="381">
        <v>2015</v>
      </c>
      <c r="B23" s="380" t="s">
        <v>575</v>
      </c>
      <c r="C23" s="322" t="s">
        <v>417</v>
      </c>
      <c r="D23" s="322" t="s">
        <v>418</v>
      </c>
      <c r="E23" s="322" t="s">
        <v>419</v>
      </c>
      <c r="F23" s="322" t="s">
        <v>420</v>
      </c>
      <c r="G23" s="322" t="s">
        <v>421</v>
      </c>
      <c r="H23" s="322" t="s">
        <v>159</v>
      </c>
      <c r="I23" s="322" t="s">
        <v>422</v>
      </c>
      <c r="J23" s="322" t="s">
        <v>423</v>
      </c>
      <c r="K23" s="322" t="s">
        <v>424</v>
      </c>
      <c r="M23" s="340" t="s">
        <v>195</v>
      </c>
      <c r="N23" s="340" t="s">
        <v>321</v>
      </c>
      <c r="O23" s="340" t="s">
        <v>376</v>
      </c>
      <c r="P23" s="340" t="s">
        <v>377</v>
      </c>
    </row>
    <row r="24" spans="1:16" ht="14.25">
      <c r="A24" s="320" t="s">
        <v>446</v>
      </c>
      <c r="B24" s="321" t="s">
        <v>426</v>
      </c>
      <c r="C24" s="377">
        <f>_xlfn.IFERROR(C2*(1+$L2),0)</f>
        <v>867.4806800618237</v>
      </c>
      <c r="D24" s="377">
        <f aca="true" t="shared" si="1" ref="D24:K24">_xlfn.IFERROR(D2*(1+$L2),0)</f>
        <v>1818.4482225656875</v>
      </c>
      <c r="E24" s="377">
        <f t="shared" si="1"/>
        <v>1183.1653786707882</v>
      </c>
      <c r="F24" s="377">
        <f t="shared" si="1"/>
        <v>879.2210200927357</v>
      </c>
      <c r="G24" s="377">
        <f t="shared" si="1"/>
        <v>701.8114374034002</v>
      </c>
      <c r="H24" s="377">
        <f t="shared" si="1"/>
        <v>675.7217928902627</v>
      </c>
      <c r="I24" s="377">
        <f t="shared" si="1"/>
        <v>605.2797527047912</v>
      </c>
      <c r="J24" s="377">
        <f t="shared" si="1"/>
        <v>708.3338485316847</v>
      </c>
      <c r="K24" s="377">
        <f t="shared" si="1"/>
        <v>521.7928902627511</v>
      </c>
      <c r="M24" s="335">
        <v>0</v>
      </c>
      <c r="N24" s="335">
        <v>0</v>
      </c>
      <c r="O24" s="335">
        <v>0</v>
      </c>
      <c r="P24" s="335">
        <v>0</v>
      </c>
    </row>
    <row r="25" spans="1:16" ht="14.25">
      <c r="A25" s="320" t="s">
        <v>447</v>
      </c>
      <c r="B25" s="321" t="s">
        <v>427</v>
      </c>
      <c r="C25" s="377">
        <f aca="true" t="shared" si="2" ref="C25:K40">_xlfn.IFERROR(C3*(1+$L3),0)</f>
        <v>801.7110754414126</v>
      </c>
      <c r="D25" s="377">
        <f t="shared" si="2"/>
        <v>0</v>
      </c>
      <c r="E25" s="377">
        <f t="shared" si="2"/>
        <v>1341.7704654895667</v>
      </c>
      <c r="F25" s="377">
        <f t="shared" si="2"/>
        <v>788.8218298555378</v>
      </c>
      <c r="G25" s="377">
        <f t="shared" si="2"/>
        <v>712.7752808988764</v>
      </c>
      <c r="H25" s="377">
        <f t="shared" si="2"/>
        <v>648.3290529695024</v>
      </c>
      <c r="I25" s="377">
        <f t="shared" si="2"/>
        <v>552.948635634029</v>
      </c>
      <c r="J25" s="377">
        <f t="shared" si="2"/>
        <v>506.5473515248796</v>
      </c>
      <c r="K25" s="377">
        <f t="shared" si="2"/>
        <v>424.0561797752809</v>
      </c>
      <c r="M25" s="335">
        <v>0</v>
      </c>
      <c r="N25" s="335">
        <v>0</v>
      </c>
      <c r="O25" s="335">
        <v>1</v>
      </c>
      <c r="P25" s="335">
        <v>0</v>
      </c>
    </row>
    <row r="26" spans="1:16" ht="14.25">
      <c r="A26" s="320" t="s">
        <v>448</v>
      </c>
      <c r="B26" s="321" t="s">
        <v>428</v>
      </c>
      <c r="C26" s="377">
        <f t="shared" si="2"/>
        <v>1014.6971736204575</v>
      </c>
      <c r="D26" s="377">
        <f t="shared" si="2"/>
        <v>0</v>
      </c>
      <c r="E26" s="377">
        <f t="shared" si="2"/>
        <v>1441.9380888290714</v>
      </c>
      <c r="F26" s="377">
        <f t="shared" si="2"/>
        <v>863.8277254374159</v>
      </c>
      <c r="G26" s="377">
        <f t="shared" si="2"/>
        <v>1014.6971736204575</v>
      </c>
      <c r="H26" s="377">
        <f t="shared" si="2"/>
        <v>858.4872139973082</v>
      </c>
      <c r="I26" s="377">
        <f t="shared" si="2"/>
        <v>857.1520861372812</v>
      </c>
      <c r="J26" s="377">
        <f t="shared" si="2"/>
        <v>1026.7133243606997</v>
      </c>
      <c r="K26" s="377">
        <f t="shared" si="2"/>
        <v>0</v>
      </c>
      <c r="M26" s="335">
        <v>0</v>
      </c>
      <c r="N26" s="335">
        <v>1</v>
      </c>
      <c r="O26" s="335">
        <v>0</v>
      </c>
      <c r="P26" s="335">
        <v>0</v>
      </c>
    </row>
    <row r="27" spans="1:16" ht="14.25">
      <c r="A27" s="320" t="s">
        <v>449</v>
      </c>
      <c r="B27" s="321" t="s">
        <v>429</v>
      </c>
      <c r="C27" s="377">
        <f t="shared" si="2"/>
        <v>794.3417935702199</v>
      </c>
      <c r="D27" s="377">
        <f t="shared" si="2"/>
        <v>1772.5093062605754</v>
      </c>
      <c r="E27" s="377">
        <f t="shared" si="2"/>
        <v>1116.3722504230118</v>
      </c>
      <c r="F27" s="377">
        <f t="shared" si="2"/>
        <v>907.0524534686971</v>
      </c>
      <c r="G27" s="377">
        <f t="shared" si="2"/>
        <v>740.6700507614213</v>
      </c>
      <c r="H27" s="377">
        <f t="shared" si="2"/>
        <v>712.4923857868021</v>
      </c>
      <c r="I27" s="377">
        <f t="shared" si="2"/>
        <v>654.7952622673434</v>
      </c>
      <c r="J27" s="377">
        <f t="shared" si="2"/>
        <v>525.9830795262267</v>
      </c>
      <c r="K27" s="377">
        <f t="shared" si="2"/>
        <v>464.2605752961083</v>
      </c>
      <c r="M27" s="335">
        <v>0</v>
      </c>
      <c r="N27" s="335">
        <v>1</v>
      </c>
      <c r="O27" s="335">
        <v>0</v>
      </c>
      <c r="P27" s="335">
        <v>0</v>
      </c>
    </row>
    <row r="28" spans="1:16" ht="14.25">
      <c r="A28" s="320" t="s">
        <v>450</v>
      </c>
      <c r="B28" s="321" t="s">
        <v>430</v>
      </c>
      <c r="C28" s="377">
        <f t="shared" si="2"/>
        <v>924.240174672489</v>
      </c>
      <c r="D28" s="377">
        <f t="shared" si="2"/>
        <v>1493.4585152838429</v>
      </c>
      <c r="E28" s="377">
        <f t="shared" si="2"/>
        <v>1416.53711790393</v>
      </c>
      <c r="F28" s="377">
        <f t="shared" si="2"/>
        <v>1037.8471615720523</v>
      </c>
      <c r="G28" s="377">
        <f t="shared" si="2"/>
        <v>805.8995633187773</v>
      </c>
      <c r="H28" s="377">
        <f t="shared" si="2"/>
        <v>682.8253275109171</v>
      </c>
      <c r="I28" s="377">
        <f t="shared" si="2"/>
        <v>588.1528384279476</v>
      </c>
      <c r="J28" s="377">
        <f t="shared" si="2"/>
        <v>643.7729257641921</v>
      </c>
      <c r="K28" s="377">
        <f t="shared" si="2"/>
        <v>0</v>
      </c>
      <c r="M28" s="335">
        <v>0</v>
      </c>
      <c r="N28" s="335">
        <v>1</v>
      </c>
      <c r="O28" s="335">
        <v>0</v>
      </c>
      <c r="P28" s="335">
        <v>0</v>
      </c>
    </row>
    <row r="29" spans="1:16" ht="14.25">
      <c r="A29" s="320" t="s">
        <v>451</v>
      </c>
      <c r="B29" s="321" t="s">
        <v>431</v>
      </c>
      <c r="C29" s="377">
        <f t="shared" si="2"/>
        <v>800.5539143279174</v>
      </c>
      <c r="D29" s="377">
        <f t="shared" si="2"/>
        <v>2824.2097488921713</v>
      </c>
      <c r="E29" s="377">
        <f t="shared" si="2"/>
        <v>1191.8020679468243</v>
      </c>
      <c r="F29" s="377">
        <f t="shared" si="2"/>
        <v>937.7917282127031</v>
      </c>
      <c r="G29" s="377">
        <f t="shared" si="2"/>
        <v>745.1772525849335</v>
      </c>
      <c r="H29" s="377">
        <f t="shared" si="2"/>
        <v>684.9852289512555</v>
      </c>
      <c r="I29" s="377">
        <f t="shared" si="2"/>
        <v>628.4047267355983</v>
      </c>
      <c r="J29" s="377">
        <f t="shared" si="2"/>
        <v>522.466765140325</v>
      </c>
      <c r="K29" s="377">
        <f t="shared" si="2"/>
        <v>0</v>
      </c>
      <c r="M29" s="335">
        <v>0</v>
      </c>
      <c r="N29" s="335">
        <v>1</v>
      </c>
      <c r="O29" s="335">
        <v>0</v>
      </c>
      <c r="P29" s="335">
        <v>0</v>
      </c>
    </row>
    <row r="30" spans="1:16" ht="14.25">
      <c r="A30" s="320" t="s">
        <v>452</v>
      </c>
      <c r="B30" s="321" t="s">
        <v>432</v>
      </c>
      <c r="C30" s="377">
        <f t="shared" si="2"/>
        <v>830.22</v>
      </c>
      <c r="D30" s="377">
        <f t="shared" si="2"/>
        <v>1875.5300000000002</v>
      </c>
      <c r="E30" s="377">
        <f t="shared" si="2"/>
        <v>1119.2900000000002</v>
      </c>
      <c r="F30" s="377">
        <f t="shared" si="2"/>
        <v>826.11</v>
      </c>
      <c r="G30" s="377">
        <f t="shared" si="2"/>
        <v>754.87</v>
      </c>
      <c r="H30" s="377">
        <f t="shared" si="2"/>
        <v>709.6600000000001</v>
      </c>
      <c r="I30" s="377">
        <f t="shared" si="2"/>
        <v>721.99</v>
      </c>
      <c r="J30" s="377">
        <f t="shared" si="2"/>
        <v>806.9300000000001</v>
      </c>
      <c r="K30" s="377">
        <f t="shared" si="2"/>
        <v>491.83000000000004</v>
      </c>
      <c r="M30" s="335">
        <v>0</v>
      </c>
      <c r="N30" s="335">
        <v>1</v>
      </c>
      <c r="O30" s="335">
        <v>0</v>
      </c>
      <c r="P30" s="335">
        <v>0</v>
      </c>
    </row>
    <row r="31" spans="1:16" ht="14.25">
      <c r="A31" s="320" t="s">
        <v>453</v>
      </c>
      <c r="B31" s="321" t="s">
        <v>433</v>
      </c>
      <c r="C31" s="377">
        <f t="shared" si="2"/>
        <v>814.8496240601504</v>
      </c>
      <c r="D31" s="377">
        <f t="shared" si="2"/>
        <v>1319.548872180451</v>
      </c>
      <c r="E31" s="377">
        <f t="shared" si="2"/>
        <v>1165.8834586466166</v>
      </c>
      <c r="F31" s="377">
        <f t="shared" si="2"/>
        <v>934.6804511278195</v>
      </c>
      <c r="G31" s="377">
        <f t="shared" si="2"/>
        <v>702.0676691729324</v>
      </c>
      <c r="H31" s="377">
        <f t="shared" si="2"/>
        <v>662.593984962406</v>
      </c>
      <c r="I31" s="377">
        <f t="shared" si="2"/>
        <v>599.1541353383459</v>
      </c>
      <c r="J31" s="377">
        <f t="shared" si="2"/>
        <v>458.1766917293233</v>
      </c>
      <c r="K31" s="377">
        <f t="shared" si="2"/>
        <v>497.65037593984965</v>
      </c>
      <c r="M31" s="335">
        <v>0</v>
      </c>
      <c r="N31" s="335">
        <v>0</v>
      </c>
      <c r="O31" s="335">
        <v>0</v>
      </c>
      <c r="P31" s="335">
        <v>0</v>
      </c>
    </row>
    <row r="32" spans="1:16" ht="14.25">
      <c r="A32" s="320" t="s">
        <v>454</v>
      </c>
      <c r="B32" s="321" t="s">
        <v>434</v>
      </c>
      <c r="C32" s="377">
        <f t="shared" si="2"/>
        <v>925.4811715481172</v>
      </c>
      <c r="D32" s="377">
        <f t="shared" si="2"/>
        <v>2905.7573221757325</v>
      </c>
      <c r="E32" s="377">
        <f t="shared" si="2"/>
        <v>1337.510460251046</v>
      </c>
      <c r="F32" s="377">
        <f t="shared" si="2"/>
        <v>1106.7740585774059</v>
      </c>
      <c r="G32" s="377">
        <f t="shared" si="2"/>
        <v>836.7364016736402</v>
      </c>
      <c r="H32" s="377">
        <f t="shared" si="2"/>
        <v>826.5941422594143</v>
      </c>
      <c r="I32" s="377">
        <f t="shared" si="2"/>
        <v>740.3849372384938</v>
      </c>
      <c r="J32" s="377">
        <f t="shared" si="2"/>
        <v>973.6569037656905</v>
      </c>
      <c r="K32" s="377">
        <f t="shared" si="2"/>
        <v>0</v>
      </c>
      <c r="M32" s="335">
        <v>0</v>
      </c>
      <c r="N32" s="335">
        <v>0</v>
      </c>
      <c r="O32" s="335">
        <v>0</v>
      </c>
      <c r="P32" s="335">
        <v>0</v>
      </c>
    </row>
    <row r="33" spans="1:16" ht="14.25">
      <c r="A33" s="320" t="s">
        <v>455</v>
      </c>
      <c r="B33" s="321" t="s">
        <v>435</v>
      </c>
      <c r="C33" s="377">
        <f t="shared" si="2"/>
        <v>656.3382352941177</v>
      </c>
      <c r="D33" s="377">
        <f t="shared" si="2"/>
        <v>945.343137254902</v>
      </c>
      <c r="E33" s="377">
        <f t="shared" si="2"/>
        <v>915.6323529411766</v>
      </c>
      <c r="F33" s="377">
        <f t="shared" si="2"/>
        <v>698.2034313725491</v>
      </c>
      <c r="G33" s="377">
        <f t="shared" si="2"/>
        <v>564.5049019607843</v>
      </c>
      <c r="H33" s="377">
        <f t="shared" si="2"/>
        <v>680.6470588235295</v>
      </c>
      <c r="I33" s="377">
        <f t="shared" si="2"/>
        <v>533.4436274509804</v>
      </c>
      <c r="J33" s="377">
        <f t="shared" si="2"/>
        <v>422.70343137254906</v>
      </c>
      <c r="K33" s="377">
        <f t="shared" si="2"/>
        <v>0</v>
      </c>
      <c r="M33" s="335">
        <v>0</v>
      </c>
      <c r="N33" s="335">
        <v>0</v>
      </c>
      <c r="O33" s="335">
        <v>0</v>
      </c>
      <c r="P33" s="335">
        <v>1</v>
      </c>
    </row>
    <row r="34" spans="1:16" ht="14.25">
      <c r="A34" s="320" t="s">
        <v>456</v>
      </c>
      <c r="B34" s="321" t="s">
        <v>436</v>
      </c>
      <c r="C34" s="377">
        <f t="shared" si="2"/>
        <v>1224.6640419947505</v>
      </c>
      <c r="D34" s="377">
        <f t="shared" si="2"/>
        <v>1096.3202099737532</v>
      </c>
      <c r="E34" s="377">
        <f t="shared" si="2"/>
        <v>1438.1706036745406</v>
      </c>
      <c r="F34" s="377">
        <f t="shared" si="2"/>
        <v>1026.750656167979</v>
      </c>
      <c r="G34" s="377">
        <f t="shared" si="2"/>
        <v>821.6404199475065</v>
      </c>
      <c r="H34" s="377">
        <f t="shared" si="2"/>
        <v>931.992125984252</v>
      </c>
      <c r="I34" s="377">
        <f t="shared" si="2"/>
        <v>532.5669291338583</v>
      </c>
      <c r="J34" s="377">
        <f t="shared" si="2"/>
        <v>0</v>
      </c>
      <c r="K34" s="377">
        <f t="shared" si="2"/>
        <v>0</v>
      </c>
      <c r="M34" s="335">
        <v>0</v>
      </c>
      <c r="N34" s="335">
        <v>1</v>
      </c>
      <c r="O34" s="335">
        <v>0</v>
      </c>
      <c r="P34" s="335">
        <v>0</v>
      </c>
    </row>
    <row r="35" spans="1:16" ht="14.25">
      <c r="A35" s="320" t="s">
        <v>457</v>
      </c>
      <c r="B35" s="321" t="s">
        <v>437</v>
      </c>
      <c r="C35" s="377">
        <f t="shared" si="2"/>
        <v>1870.4128440366972</v>
      </c>
      <c r="D35" s="377">
        <f t="shared" si="2"/>
        <v>3232.4159021406726</v>
      </c>
      <c r="E35" s="377">
        <f t="shared" si="2"/>
        <v>2199.5412844036696</v>
      </c>
      <c r="F35" s="377">
        <f t="shared" si="2"/>
        <v>1790.1376146788991</v>
      </c>
      <c r="G35" s="377">
        <f t="shared" si="2"/>
        <v>1165.32874617737</v>
      </c>
      <c r="H35" s="377">
        <f t="shared" si="2"/>
        <v>1060.9709480122324</v>
      </c>
      <c r="I35" s="377">
        <f t="shared" si="2"/>
        <v>698.3944954128441</v>
      </c>
      <c r="J35" s="377">
        <f t="shared" si="2"/>
        <v>0</v>
      </c>
      <c r="K35" s="377">
        <f t="shared" si="2"/>
        <v>0</v>
      </c>
      <c r="M35" s="335">
        <v>0</v>
      </c>
      <c r="N35" s="335">
        <v>0</v>
      </c>
      <c r="O35" s="335">
        <v>0</v>
      </c>
      <c r="P35" s="335">
        <v>0</v>
      </c>
    </row>
    <row r="36" spans="1:16" ht="14.25">
      <c r="A36" s="320" t="s">
        <v>458</v>
      </c>
      <c r="B36" s="321" t="s">
        <v>438</v>
      </c>
      <c r="C36" s="377">
        <f t="shared" si="2"/>
        <v>865.2703213610587</v>
      </c>
      <c r="D36" s="377">
        <f t="shared" si="2"/>
        <v>927.6975425330813</v>
      </c>
      <c r="E36" s="377">
        <f t="shared" si="2"/>
        <v>1219.5085066162571</v>
      </c>
      <c r="F36" s="377">
        <f t="shared" si="2"/>
        <v>892.8544423440454</v>
      </c>
      <c r="G36" s="377">
        <f t="shared" si="2"/>
        <v>736.0604914933838</v>
      </c>
      <c r="H36" s="377">
        <f t="shared" si="2"/>
        <v>672.1814744801512</v>
      </c>
      <c r="I36" s="377">
        <f t="shared" si="2"/>
        <v>615.561436672968</v>
      </c>
      <c r="J36" s="377">
        <f t="shared" si="2"/>
        <v>608.3024574669188</v>
      </c>
      <c r="K36" s="377">
        <f t="shared" si="2"/>
        <v>0</v>
      </c>
      <c r="M36" s="335">
        <v>0</v>
      </c>
      <c r="N36" s="335">
        <v>0</v>
      </c>
      <c r="O36" s="335">
        <v>0</v>
      </c>
      <c r="P36" s="335">
        <v>0</v>
      </c>
    </row>
    <row r="37" spans="1:16" ht="14.25">
      <c r="A37" s="320" t="s">
        <v>459</v>
      </c>
      <c r="B37" s="321" t="s">
        <v>439</v>
      </c>
      <c r="C37" s="377">
        <f t="shared" si="2"/>
        <v>970.3070683661645</v>
      </c>
      <c r="D37" s="377">
        <f t="shared" si="2"/>
        <v>1407.2224797219003</v>
      </c>
      <c r="E37" s="377">
        <f t="shared" si="2"/>
        <v>1127.7740440324449</v>
      </c>
      <c r="F37" s="377">
        <f t="shared" si="2"/>
        <v>637.630359212051</v>
      </c>
      <c r="G37" s="377">
        <f t="shared" si="2"/>
        <v>620.9965237543453</v>
      </c>
      <c r="H37" s="377">
        <f t="shared" si="2"/>
        <v>564.441483198146</v>
      </c>
      <c r="I37" s="377">
        <f t="shared" si="2"/>
        <v>622.1054461181923</v>
      </c>
      <c r="J37" s="377">
        <f t="shared" si="2"/>
        <v>0</v>
      </c>
      <c r="K37" s="377">
        <f t="shared" si="2"/>
        <v>0</v>
      </c>
      <c r="M37" s="335">
        <v>0</v>
      </c>
      <c r="N37" s="335">
        <v>1</v>
      </c>
      <c r="O37" s="335">
        <v>0</v>
      </c>
      <c r="P37" s="335">
        <v>0</v>
      </c>
    </row>
    <row r="38" spans="1:16" ht="14.25">
      <c r="A38" s="320" t="s">
        <v>460</v>
      </c>
      <c r="B38" s="321" t="s">
        <v>440</v>
      </c>
      <c r="C38" s="377">
        <f t="shared" si="2"/>
        <v>757.8149920255183</v>
      </c>
      <c r="D38" s="377">
        <f t="shared" si="2"/>
        <v>0</v>
      </c>
      <c r="E38" s="377">
        <f t="shared" si="2"/>
        <v>1020.1355661881978</v>
      </c>
      <c r="F38" s="377">
        <f t="shared" si="2"/>
        <v>705.3508771929825</v>
      </c>
      <c r="G38" s="377">
        <f t="shared" si="2"/>
        <v>671.5406698564593</v>
      </c>
      <c r="H38" s="377">
        <f t="shared" si="2"/>
        <v>651.7208931419458</v>
      </c>
      <c r="I38" s="377">
        <f t="shared" si="2"/>
        <v>580.6028708133972</v>
      </c>
      <c r="J38" s="377">
        <f t="shared" si="2"/>
        <v>0</v>
      </c>
      <c r="K38" s="377">
        <f t="shared" si="2"/>
        <v>0</v>
      </c>
      <c r="M38" s="335">
        <v>0</v>
      </c>
      <c r="N38" s="335">
        <v>0</v>
      </c>
      <c r="O38" s="335">
        <v>0</v>
      </c>
      <c r="P38" s="335">
        <v>0</v>
      </c>
    </row>
    <row r="39" spans="1:16" ht="14.25">
      <c r="A39" s="320" t="s">
        <v>461</v>
      </c>
      <c r="B39" s="321" t="s">
        <v>441</v>
      </c>
      <c r="C39" s="377">
        <f t="shared" si="2"/>
        <v>1138.8855989232839</v>
      </c>
      <c r="D39" s="377">
        <f t="shared" si="2"/>
        <v>1807.422611036339</v>
      </c>
      <c r="E39" s="377">
        <f t="shared" si="2"/>
        <v>1369.1749663526246</v>
      </c>
      <c r="F39" s="377">
        <f t="shared" si="2"/>
        <v>976.9851951547779</v>
      </c>
      <c r="G39" s="377">
        <f t="shared" si="2"/>
        <v>802.5235531628533</v>
      </c>
      <c r="H39" s="377">
        <f t="shared" si="2"/>
        <v>784.3795423956931</v>
      </c>
      <c r="I39" s="377">
        <f t="shared" si="2"/>
        <v>609.9179004037685</v>
      </c>
      <c r="J39" s="377">
        <f t="shared" si="2"/>
        <v>547.1117092866756</v>
      </c>
      <c r="K39" s="377">
        <f t="shared" si="2"/>
        <v>0</v>
      </c>
      <c r="M39" s="335">
        <v>0</v>
      </c>
      <c r="N39" s="335">
        <v>0</v>
      </c>
      <c r="O39" s="335">
        <v>0</v>
      </c>
      <c r="P39" s="335">
        <v>0</v>
      </c>
    </row>
    <row r="40" spans="1:16" ht="14.25">
      <c r="A40" s="320" t="s">
        <v>462</v>
      </c>
      <c r="B40" s="321" t="s">
        <v>442</v>
      </c>
      <c r="C40" s="377">
        <f t="shared" si="2"/>
        <v>676.1583476764199</v>
      </c>
      <c r="D40" s="377">
        <f t="shared" si="2"/>
        <v>1746.643717728055</v>
      </c>
      <c r="E40" s="377">
        <f t="shared" si="2"/>
        <v>811.1531841652323</v>
      </c>
      <c r="F40" s="377">
        <f t="shared" si="2"/>
        <v>626.4234079173838</v>
      </c>
      <c r="G40" s="377">
        <f t="shared" si="2"/>
        <v>435.77280550774526</v>
      </c>
      <c r="H40" s="377">
        <f t="shared" si="2"/>
        <v>420.37865748709123</v>
      </c>
      <c r="I40" s="377">
        <f t="shared" si="2"/>
        <v>381.3012048192771</v>
      </c>
      <c r="J40" s="377">
        <f t="shared" si="2"/>
        <v>362.35456110154905</v>
      </c>
      <c r="K40" s="377">
        <f t="shared" si="2"/>
        <v>355.249569707401</v>
      </c>
      <c r="M40" s="335">
        <v>0</v>
      </c>
      <c r="N40" s="335">
        <v>0</v>
      </c>
      <c r="O40" s="335">
        <v>0</v>
      </c>
      <c r="P40" s="335">
        <v>0</v>
      </c>
    </row>
    <row r="41" spans="1:16" ht="14.25">
      <c r="A41" s="320" t="s">
        <v>463</v>
      </c>
      <c r="B41" s="321" t="s">
        <v>443</v>
      </c>
      <c r="C41" s="377">
        <f aca="true" t="shared" si="3" ref="C41:K43">_xlfn.IFERROR(C19*(1+$L19),0)</f>
        <v>849.887459807074</v>
      </c>
      <c r="D41" s="377">
        <f t="shared" si="3"/>
        <v>2008.01768488746</v>
      </c>
      <c r="E41" s="377">
        <f t="shared" si="3"/>
        <v>1211.4067524115756</v>
      </c>
      <c r="F41" s="377">
        <f t="shared" si="3"/>
        <v>780.1205787781352</v>
      </c>
      <c r="G41" s="377">
        <f t="shared" si="3"/>
        <v>717.9646302250804</v>
      </c>
      <c r="H41" s="377">
        <f t="shared" si="3"/>
        <v>556.8665594855306</v>
      </c>
      <c r="I41" s="377">
        <f t="shared" si="3"/>
        <v>504.8585209003216</v>
      </c>
      <c r="J41" s="377">
        <f t="shared" si="3"/>
        <v>455.387459807074</v>
      </c>
      <c r="K41" s="377">
        <f t="shared" si="3"/>
        <v>456.6559485530547</v>
      </c>
      <c r="M41" s="335">
        <v>0</v>
      </c>
      <c r="N41" s="335">
        <v>0</v>
      </c>
      <c r="O41" s="335">
        <v>0</v>
      </c>
      <c r="P41" s="335">
        <v>0</v>
      </c>
    </row>
    <row r="42" spans="1:16" ht="14.25">
      <c r="A42" s="320" t="s">
        <v>464</v>
      </c>
      <c r="B42" s="321" t="s">
        <v>444</v>
      </c>
      <c r="C42" s="377">
        <f t="shared" si="3"/>
        <v>771.5687382297552</v>
      </c>
      <c r="D42" s="377">
        <f t="shared" si="3"/>
        <v>1428.8832391713747</v>
      </c>
      <c r="E42" s="377">
        <f t="shared" si="3"/>
        <v>906.9811676082863</v>
      </c>
      <c r="F42" s="377">
        <f t="shared" si="3"/>
        <v>813.8851224105462</v>
      </c>
      <c r="G42" s="377">
        <f t="shared" si="3"/>
        <v>668.5988700564972</v>
      </c>
      <c r="H42" s="377">
        <f t="shared" si="3"/>
        <v>688.346516007533</v>
      </c>
      <c r="I42" s="377">
        <f t="shared" si="3"/>
        <v>548.7024482109229</v>
      </c>
      <c r="J42" s="377">
        <f t="shared" si="3"/>
        <v>461.2485875706215</v>
      </c>
      <c r="K42" s="377">
        <f t="shared" si="3"/>
        <v>0</v>
      </c>
      <c r="M42" s="335">
        <v>1</v>
      </c>
      <c r="N42" s="335">
        <v>0</v>
      </c>
      <c r="O42" s="335">
        <v>0</v>
      </c>
      <c r="P42" s="335">
        <v>0</v>
      </c>
    </row>
    <row r="43" spans="1:16" ht="14.25">
      <c r="A43" s="320" t="s">
        <v>465</v>
      </c>
      <c r="B43" s="321" t="s">
        <v>445</v>
      </c>
      <c r="C43" s="377">
        <f t="shared" si="3"/>
        <v>710.9664694280079</v>
      </c>
      <c r="D43" s="377">
        <f t="shared" si="3"/>
        <v>1917.4950690335306</v>
      </c>
      <c r="E43" s="377">
        <f t="shared" si="3"/>
        <v>1133.8461538461538</v>
      </c>
      <c r="F43" s="377">
        <f t="shared" si="3"/>
        <v>558.9940828402367</v>
      </c>
      <c r="G43" s="377">
        <f t="shared" si="3"/>
        <v>502.1696252465484</v>
      </c>
      <c r="H43" s="377">
        <f t="shared" si="3"/>
        <v>589.388560157791</v>
      </c>
      <c r="I43" s="377">
        <f t="shared" si="3"/>
        <v>539.1715976331361</v>
      </c>
      <c r="J43" s="377">
        <f t="shared" si="3"/>
        <v>0</v>
      </c>
      <c r="K43" s="377">
        <f t="shared" si="3"/>
        <v>0</v>
      </c>
      <c r="M43" s="335">
        <v>0</v>
      </c>
      <c r="N43" s="335">
        <v>0</v>
      </c>
      <c r="O43" s="335">
        <v>0</v>
      </c>
      <c r="P43" s="335">
        <v>0</v>
      </c>
    </row>
    <row r="45" spans="2:16" ht="144">
      <c r="B45" s="380" t="s">
        <v>576</v>
      </c>
      <c r="C45" s="322" t="s">
        <v>417</v>
      </c>
      <c r="D45" s="322" t="s">
        <v>418</v>
      </c>
      <c r="E45" s="382" t="s">
        <v>419</v>
      </c>
      <c r="F45" s="322" t="s">
        <v>420</v>
      </c>
      <c r="G45" s="382" t="s">
        <v>421</v>
      </c>
      <c r="H45" s="382" t="s">
        <v>159</v>
      </c>
      <c r="I45" s="382" t="s">
        <v>422</v>
      </c>
      <c r="J45" s="322" t="s">
        <v>423</v>
      </c>
      <c r="K45" s="322" t="s">
        <v>424</v>
      </c>
      <c r="M45" s="340" t="s">
        <v>195</v>
      </c>
      <c r="N45" s="340" t="s">
        <v>321</v>
      </c>
      <c r="O45" s="340" t="s">
        <v>376</v>
      </c>
      <c r="P45" s="340" t="s">
        <v>377</v>
      </c>
    </row>
    <row r="46" spans="1:16" ht="15">
      <c r="A46" s="320" t="s">
        <v>446</v>
      </c>
      <c r="B46" s="321" t="s">
        <v>426</v>
      </c>
      <c r="C46" s="378">
        <f>C24/$I24*Q46</f>
        <v>0</v>
      </c>
      <c r="D46" s="378">
        <f aca="true" t="shared" si="4" ref="C46:I61">D24/$I24</f>
        <v>3.0043103448275863</v>
      </c>
      <c r="E46" s="378">
        <f t="shared" si="4"/>
        <v>1.954741379310345</v>
      </c>
      <c r="F46" s="378">
        <f t="shared" si="4"/>
        <v>1.4525862068965518</v>
      </c>
      <c r="G46" s="378">
        <f t="shared" si="4"/>
        <v>1.1594827586206897</v>
      </c>
      <c r="H46" s="378">
        <f t="shared" si="4"/>
        <v>1.1163793103448276</v>
      </c>
      <c r="I46" s="378">
        <f>I24/$I24</f>
        <v>1</v>
      </c>
      <c r="J46" s="378">
        <f aca="true" t="shared" si="5" ref="J46:K61">J24/$I24</f>
        <v>1.1702586206896552</v>
      </c>
      <c r="K46" s="378">
        <f t="shared" si="5"/>
        <v>0.8620689655172415</v>
      </c>
      <c r="M46" s="335">
        <v>0</v>
      </c>
      <c r="N46" s="335">
        <v>0</v>
      </c>
      <c r="O46" s="335">
        <v>0</v>
      </c>
      <c r="P46" s="335">
        <v>0</v>
      </c>
    </row>
    <row r="47" spans="1:16" ht="15">
      <c r="A47" s="320" t="s">
        <v>447</v>
      </c>
      <c r="B47" s="321" t="s">
        <v>427</v>
      </c>
      <c r="C47" s="378">
        <f t="shared" si="4"/>
        <v>1.4498834498834499</v>
      </c>
      <c r="D47" s="378">
        <f t="shared" si="4"/>
        <v>0</v>
      </c>
      <c r="E47" s="378">
        <f t="shared" si="4"/>
        <v>2.4265734265734267</v>
      </c>
      <c r="F47" s="378">
        <f t="shared" si="4"/>
        <v>1.4265734265734265</v>
      </c>
      <c r="G47" s="378">
        <f t="shared" si="4"/>
        <v>1.2890442890442888</v>
      </c>
      <c r="H47" s="378">
        <f t="shared" si="4"/>
        <v>1.1724941724941724</v>
      </c>
      <c r="I47" s="378">
        <f t="shared" si="4"/>
        <v>1</v>
      </c>
      <c r="J47" s="378">
        <f t="shared" si="5"/>
        <v>0.9160839160839159</v>
      </c>
      <c r="K47" s="378">
        <f t="shared" si="5"/>
        <v>0.7668997668997668</v>
      </c>
      <c r="M47" s="335">
        <v>0</v>
      </c>
      <c r="N47" s="335">
        <v>0</v>
      </c>
      <c r="O47" s="335">
        <v>1</v>
      </c>
      <c r="P47" s="335">
        <v>0</v>
      </c>
    </row>
    <row r="48" spans="1:16" ht="15">
      <c r="A48" s="320" t="s">
        <v>448</v>
      </c>
      <c r="B48" s="321" t="s">
        <v>428</v>
      </c>
      <c r="C48" s="378">
        <f t="shared" si="4"/>
        <v>1.1838006230529594</v>
      </c>
      <c r="D48" s="378">
        <f t="shared" si="4"/>
        <v>0</v>
      </c>
      <c r="E48" s="378">
        <f t="shared" si="4"/>
        <v>1.6822429906542058</v>
      </c>
      <c r="F48" s="378">
        <f t="shared" si="4"/>
        <v>1.0077881619937696</v>
      </c>
      <c r="G48" s="378">
        <f t="shared" si="4"/>
        <v>1.1838006230529594</v>
      </c>
      <c r="H48" s="378">
        <f t="shared" si="4"/>
        <v>1.001557632398754</v>
      </c>
      <c r="I48" s="378">
        <f t="shared" si="4"/>
        <v>1</v>
      </c>
      <c r="J48" s="378">
        <f t="shared" si="5"/>
        <v>1.1978193146417444</v>
      </c>
      <c r="K48" s="378">
        <f t="shared" si="5"/>
        <v>0</v>
      </c>
      <c r="M48" s="335">
        <v>0</v>
      </c>
      <c r="N48" s="335">
        <v>1</v>
      </c>
      <c r="O48" s="335">
        <v>0</v>
      </c>
      <c r="P48" s="335">
        <v>0</v>
      </c>
    </row>
    <row r="49" spans="1:16" ht="15">
      <c r="A49" s="320" t="s">
        <v>449</v>
      </c>
      <c r="B49" s="321" t="s">
        <v>429</v>
      </c>
      <c r="C49" s="378">
        <f t="shared" si="4"/>
        <v>1.2131147540983607</v>
      </c>
      <c r="D49" s="378">
        <f t="shared" si="4"/>
        <v>2.7069672131147544</v>
      </c>
      <c r="E49" s="378">
        <f t="shared" si="4"/>
        <v>1.7049180327868854</v>
      </c>
      <c r="F49" s="378">
        <f t="shared" si="4"/>
        <v>1.3852459016393444</v>
      </c>
      <c r="G49" s="378">
        <f t="shared" si="4"/>
        <v>1.1311475409836065</v>
      </c>
      <c r="H49" s="378">
        <f t="shared" si="4"/>
        <v>1.0881147540983607</v>
      </c>
      <c r="I49" s="378">
        <f t="shared" si="4"/>
        <v>1</v>
      </c>
      <c r="J49" s="378">
        <f t="shared" si="5"/>
        <v>0.8032786885245902</v>
      </c>
      <c r="K49" s="378">
        <f t="shared" si="5"/>
        <v>0.709016393442623</v>
      </c>
      <c r="M49" s="335">
        <v>0</v>
      </c>
      <c r="N49" s="335">
        <v>1</v>
      </c>
      <c r="O49" s="335">
        <v>0</v>
      </c>
      <c r="P49" s="335">
        <v>0</v>
      </c>
    </row>
    <row r="50" spans="1:16" ht="15">
      <c r="A50" s="320" t="s">
        <v>450</v>
      </c>
      <c r="B50" s="321" t="s">
        <v>430</v>
      </c>
      <c r="C50" s="378">
        <f t="shared" si="4"/>
        <v>1.5714285714285714</v>
      </c>
      <c r="D50" s="378">
        <f t="shared" si="4"/>
        <v>2.539235412474849</v>
      </c>
      <c r="E50" s="378">
        <f t="shared" si="4"/>
        <v>2.408450704225352</v>
      </c>
      <c r="F50" s="378">
        <f t="shared" si="4"/>
        <v>1.7645875251509053</v>
      </c>
      <c r="G50" s="378">
        <f t="shared" si="4"/>
        <v>1.3702213279678068</v>
      </c>
      <c r="H50" s="378">
        <f t="shared" si="4"/>
        <v>1.1609657947686118</v>
      </c>
      <c r="I50" s="378">
        <f t="shared" si="4"/>
        <v>1</v>
      </c>
      <c r="J50" s="378">
        <f t="shared" si="5"/>
        <v>1.0945674044265594</v>
      </c>
      <c r="K50" s="378">
        <f t="shared" si="5"/>
        <v>0</v>
      </c>
      <c r="M50" s="335">
        <v>0</v>
      </c>
      <c r="N50" s="335">
        <v>1</v>
      </c>
      <c r="O50" s="335">
        <v>0</v>
      </c>
      <c r="P50" s="335">
        <v>0</v>
      </c>
    </row>
    <row r="51" spans="1:16" ht="15">
      <c r="A51" s="320" t="s">
        <v>451</v>
      </c>
      <c r="B51" s="321" t="s">
        <v>431</v>
      </c>
      <c r="C51" s="378">
        <f t="shared" si="4"/>
        <v>1.2739463601532568</v>
      </c>
      <c r="D51" s="378">
        <f t="shared" si="4"/>
        <v>4.494252873563218</v>
      </c>
      <c r="E51" s="378">
        <f t="shared" si="4"/>
        <v>1.896551724137931</v>
      </c>
      <c r="F51" s="378">
        <f t="shared" si="4"/>
        <v>1.4923371647509578</v>
      </c>
      <c r="G51" s="378">
        <f t="shared" si="4"/>
        <v>1.1858237547892718</v>
      </c>
      <c r="H51" s="378">
        <f t="shared" si="4"/>
        <v>1.090038314176245</v>
      </c>
      <c r="I51" s="378">
        <f t="shared" si="4"/>
        <v>1</v>
      </c>
      <c r="J51" s="378">
        <f t="shared" si="5"/>
        <v>0.8314176245210728</v>
      </c>
      <c r="K51" s="378">
        <f t="shared" si="5"/>
        <v>0</v>
      </c>
      <c r="M51" s="335">
        <v>0</v>
      </c>
      <c r="N51" s="335">
        <v>1</v>
      </c>
      <c r="O51" s="335">
        <v>0</v>
      </c>
      <c r="P51" s="335">
        <v>0</v>
      </c>
    </row>
    <row r="52" spans="1:16" ht="15">
      <c r="A52" s="320" t="s">
        <v>452</v>
      </c>
      <c r="B52" s="321" t="s">
        <v>432</v>
      </c>
      <c r="C52" s="378">
        <f t="shared" si="4"/>
        <v>1.1499051233396584</v>
      </c>
      <c r="D52" s="378">
        <f t="shared" si="4"/>
        <v>2.597722960151803</v>
      </c>
      <c r="E52" s="378">
        <f t="shared" si="4"/>
        <v>1.550284629981025</v>
      </c>
      <c r="F52" s="378">
        <f t="shared" si="4"/>
        <v>1.1442125237191652</v>
      </c>
      <c r="G52" s="378">
        <f t="shared" si="4"/>
        <v>1.045540796963947</v>
      </c>
      <c r="H52" s="378">
        <f t="shared" si="4"/>
        <v>0.98292220113852</v>
      </c>
      <c r="I52" s="378">
        <f t="shared" si="4"/>
        <v>1</v>
      </c>
      <c r="J52" s="378">
        <f t="shared" si="5"/>
        <v>1.1176470588235294</v>
      </c>
      <c r="K52" s="378">
        <f t="shared" si="5"/>
        <v>0.681214421252372</v>
      </c>
      <c r="M52" s="335">
        <v>0</v>
      </c>
      <c r="N52" s="335">
        <v>1</v>
      </c>
      <c r="O52" s="335">
        <v>0</v>
      </c>
      <c r="P52" s="335">
        <v>0</v>
      </c>
    </row>
    <row r="53" spans="1:16" ht="15">
      <c r="A53" s="320" t="s">
        <v>453</v>
      </c>
      <c r="B53" s="321" t="s">
        <v>433</v>
      </c>
      <c r="C53" s="378">
        <f t="shared" si="4"/>
        <v>1.3599999999999999</v>
      </c>
      <c r="D53" s="378">
        <f t="shared" si="4"/>
        <v>2.2023529411764704</v>
      </c>
      <c r="E53" s="378">
        <f t="shared" si="4"/>
        <v>1.9458823529411766</v>
      </c>
      <c r="F53" s="378">
        <f t="shared" si="4"/>
        <v>1.5599999999999998</v>
      </c>
      <c r="G53" s="378">
        <f t="shared" si="4"/>
        <v>1.171764705882353</v>
      </c>
      <c r="H53" s="378">
        <f t="shared" si="4"/>
        <v>1.1058823529411763</v>
      </c>
      <c r="I53" s="378">
        <f t="shared" si="4"/>
        <v>1</v>
      </c>
      <c r="J53" s="378">
        <f t="shared" si="5"/>
        <v>0.7647058823529411</v>
      </c>
      <c r="K53" s="378">
        <f t="shared" si="5"/>
        <v>0.8305882352941176</v>
      </c>
      <c r="M53" s="335">
        <v>0</v>
      </c>
      <c r="N53" s="335">
        <v>0</v>
      </c>
      <c r="O53" s="335">
        <v>0</v>
      </c>
      <c r="P53" s="335">
        <v>0</v>
      </c>
    </row>
    <row r="54" spans="1:16" ht="15">
      <c r="A54" s="320" t="s">
        <v>454</v>
      </c>
      <c r="B54" s="321" t="s">
        <v>434</v>
      </c>
      <c r="C54" s="378">
        <f t="shared" si="4"/>
        <v>1.25</v>
      </c>
      <c r="D54" s="378">
        <f t="shared" si="4"/>
        <v>3.9246575342465757</v>
      </c>
      <c r="E54" s="378">
        <f t="shared" si="4"/>
        <v>1.8065068493150682</v>
      </c>
      <c r="F54" s="378">
        <f t="shared" si="4"/>
        <v>1.49486301369863</v>
      </c>
      <c r="G54" s="378">
        <f t="shared" si="4"/>
        <v>1.13013698630137</v>
      </c>
      <c r="H54" s="378">
        <f t="shared" si="4"/>
        <v>1.1164383561643836</v>
      </c>
      <c r="I54" s="378">
        <f t="shared" si="4"/>
        <v>1</v>
      </c>
      <c r="J54" s="378">
        <f t="shared" si="5"/>
        <v>1.315068493150685</v>
      </c>
      <c r="K54" s="378">
        <f t="shared" si="5"/>
        <v>0</v>
      </c>
      <c r="M54" s="335">
        <v>0</v>
      </c>
      <c r="N54" s="335">
        <v>0</v>
      </c>
      <c r="O54" s="335">
        <v>0</v>
      </c>
      <c r="P54" s="335">
        <v>0</v>
      </c>
    </row>
    <row r="55" spans="1:16" ht="15">
      <c r="A55" s="320" t="s">
        <v>455</v>
      </c>
      <c r="B55" s="321" t="s">
        <v>435</v>
      </c>
      <c r="C55" s="378">
        <f t="shared" si="4"/>
        <v>1.230379746835443</v>
      </c>
      <c r="D55" s="378">
        <f t="shared" si="4"/>
        <v>1.7721518987341771</v>
      </c>
      <c r="E55" s="378">
        <f t="shared" si="4"/>
        <v>1.7164556962025317</v>
      </c>
      <c r="F55" s="378">
        <f t="shared" si="4"/>
        <v>1.3088607594936708</v>
      </c>
      <c r="G55" s="378">
        <f t="shared" si="4"/>
        <v>1.0582278481012657</v>
      </c>
      <c r="H55" s="378">
        <f t="shared" si="4"/>
        <v>1.2759493670886077</v>
      </c>
      <c r="I55" s="378">
        <f t="shared" si="4"/>
        <v>1</v>
      </c>
      <c r="J55" s="378">
        <f t="shared" si="5"/>
        <v>0.7924050632911392</v>
      </c>
      <c r="K55" s="378">
        <f t="shared" si="5"/>
        <v>0</v>
      </c>
      <c r="M55" s="335">
        <v>0</v>
      </c>
      <c r="N55" s="335">
        <v>0</v>
      </c>
      <c r="O55" s="335">
        <v>0</v>
      </c>
      <c r="P55" s="335">
        <v>1</v>
      </c>
    </row>
    <row r="56" spans="1:16" ht="15">
      <c r="A56" s="320" t="s">
        <v>456</v>
      </c>
      <c r="B56" s="321" t="s">
        <v>436</v>
      </c>
      <c r="C56" s="378">
        <f t="shared" si="4"/>
        <v>2.2995495495495493</v>
      </c>
      <c r="D56" s="378">
        <f t="shared" si="4"/>
        <v>2.0585585585585586</v>
      </c>
      <c r="E56" s="378">
        <f t="shared" si="4"/>
        <v>2.7004504504504503</v>
      </c>
      <c r="F56" s="378">
        <f t="shared" si="4"/>
        <v>1.927927927927928</v>
      </c>
      <c r="G56" s="378">
        <f t="shared" si="4"/>
        <v>1.5427927927927927</v>
      </c>
      <c r="H56" s="378">
        <f t="shared" si="4"/>
        <v>1.75</v>
      </c>
      <c r="I56" s="378">
        <f t="shared" si="4"/>
        <v>1</v>
      </c>
      <c r="J56" s="378">
        <f t="shared" si="5"/>
        <v>0</v>
      </c>
      <c r="K56" s="378">
        <f t="shared" si="5"/>
        <v>0</v>
      </c>
      <c r="M56" s="335">
        <v>0</v>
      </c>
      <c r="N56" s="335">
        <v>1</v>
      </c>
      <c r="O56" s="335">
        <v>0</v>
      </c>
      <c r="P56" s="335">
        <v>0</v>
      </c>
    </row>
    <row r="57" spans="1:16" ht="15">
      <c r="A57" s="320" t="s">
        <v>457</v>
      </c>
      <c r="B57" s="321" t="s">
        <v>437</v>
      </c>
      <c r="C57" s="378">
        <f t="shared" si="4"/>
        <v>2.6781609195402294</v>
      </c>
      <c r="D57" s="378">
        <f t="shared" si="4"/>
        <v>4.628352490421455</v>
      </c>
      <c r="E57" s="378">
        <f t="shared" si="4"/>
        <v>3.1494252873563213</v>
      </c>
      <c r="F57" s="378">
        <f t="shared" si="4"/>
        <v>2.5632183908045976</v>
      </c>
      <c r="G57" s="378">
        <f t="shared" si="4"/>
        <v>1.668582375478927</v>
      </c>
      <c r="H57" s="378">
        <f t="shared" si="4"/>
        <v>1.5191570881226053</v>
      </c>
      <c r="I57" s="378">
        <f t="shared" si="4"/>
        <v>1</v>
      </c>
      <c r="J57" s="378">
        <f t="shared" si="5"/>
        <v>0</v>
      </c>
      <c r="K57" s="378">
        <f t="shared" si="5"/>
        <v>0</v>
      </c>
      <c r="M57" s="335">
        <v>0</v>
      </c>
      <c r="N57" s="335">
        <v>0</v>
      </c>
      <c r="O57" s="335">
        <v>0</v>
      </c>
      <c r="P57" s="335">
        <v>0</v>
      </c>
    </row>
    <row r="58" spans="1:16" ht="15">
      <c r="A58" s="320" t="s">
        <v>458</v>
      </c>
      <c r="B58" s="321" t="s">
        <v>438</v>
      </c>
      <c r="C58" s="378">
        <f t="shared" si="4"/>
        <v>1.4056603773584906</v>
      </c>
      <c r="D58" s="378">
        <f t="shared" si="4"/>
        <v>1.5070754716981132</v>
      </c>
      <c r="E58" s="378">
        <f t="shared" si="4"/>
        <v>1.981132075471698</v>
      </c>
      <c r="F58" s="378">
        <f t="shared" si="4"/>
        <v>1.4504716981132075</v>
      </c>
      <c r="G58" s="378">
        <f t="shared" si="4"/>
        <v>1.195754716981132</v>
      </c>
      <c r="H58" s="378">
        <f t="shared" si="4"/>
        <v>1.0919811320754715</v>
      </c>
      <c r="I58" s="378">
        <f t="shared" si="4"/>
        <v>1</v>
      </c>
      <c r="J58" s="378">
        <f t="shared" si="5"/>
        <v>0.9882075471698113</v>
      </c>
      <c r="K58" s="378">
        <f t="shared" si="5"/>
        <v>0</v>
      </c>
      <c r="M58" s="335">
        <v>0</v>
      </c>
      <c r="N58" s="335">
        <v>0</v>
      </c>
      <c r="O58" s="335">
        <v>0</v>
      </c>
      <c r="P58" s="335">
        <v>0</v>
      </c>
    </row>
    <row r="59" spans="1:16" ht="15">
      <c r="A59" s="320" t="s">
        <v>459</v>
      </c>
      <c r="B59" s="321" t="s">
        <v>439</v>
      </c>
      <c r="C59" s="378">
        <f t="shared" si="4"/>
        <v>1.5597147950089127</v>
      </c>
      <c r="D59" s="378">
        <f t="shared" si="4"/>
        <v>2.2620320855614975</v>
      </c>
      <c r="E59" s="378">
        <f t="shared" si="4"/>
        <v>1.8128342245989306</v>
      </c>
      <c r="F59" s="378">
        <f t="shared" si="4"/>
        <v>1.0249554367201428</v>
      </c>
      <c r="G59" s="378">
        <f t="shared" si="4"/>
        <v>0.9982174688057042</v>
      </c>
      <c r="H59" s="378">
        <f t="shared" si="4"/>
        <v>0.9073083778966132</v>
      </c>
      <c r="I59" s="378">
        <f t="shared" si="4"/>
        <v>1</v>
      </c>
      <c r="J59" s="378">
        <f t="shared" si="5"/>
        <v>0</v>
      </c>
      <c r="K59" s="378">
        <f t="shared" si="5"/>
        <v>0</v>
      </c>
      <c r="M59" s="335">
        <v>0</v>
      </c>
      <c r="N59" s="335">
        <v>1</v>
      </c>
      <c r="O59" s="335">
        <v>0</v>
      </c>
      <c r="P59" s="335">
        <v>0</v>
      </c>
    </row>
    <row r="60" spans="1:16" ht="15">
      <c r="A60" s="320" t="s">
        <v>460</v>
      </c>
      <c r="B60" s="321" t="s">
        <v>440</v>
      </c>
      <c r="C60" s="378">
        <f t="shared" si="4"/>
        <v>1.3052208835341363</v>
      </c>
      <c r="D60" s="378">
        <f t="shared" si="4"/>
        <v>0</v>
      </c>
      <c r="E60" s="378">
        <f t="shared" si="4"/>
        <v>1.757028112449799</v>
      </c>
      <c r="F60" s="378">
        <f t="shared" si="4"/>
        <v>1.2148594377510038</v>
      </c>
      <c r="G60" s="378">
        <f t="shared" si="4"/>
        <v>1.1566265060240961</v>
      </c>
      <c r="H60" s="378">
        <f t="shared" si="4"/>
        <v>1.1224899598393574</v>
      </c>
      <c r="I60" s="378">
        <f t="shared" si="4"/>
        <v>1</v>
      </c>
      <c r="J60" s="378">
        <f t="shared" si="5"/>
        <v>0</v>
      </c>
      <c r="K60" s="378">
        <f t="shared" si="5"/>
        <v>0</v>
      </c>
      <c r="M60" s="335">
        <v>0</v>
      </c>
      <c r="N60" s="335">
        <v>0</v>
      </c>
      <c r="O60" s="335">
        <v>0</v>
      </c>
      <c r="P60" s="335">
        <v>0</v>
      </c>
    </row>
    <row r="61" spans="1:16" ht="15">
      <c r="A61" s="320" t="s">
        <v>461</v>
      </c>
      <c r="B61" s="321" t="s">
        <v>441</v>
      </c>
      <c r="C61" s="378">
        <f t="shared" si="4"/>
        <v>1.8672768878718533</v>
      </c>
      <c r="D61" s="378">
        <f t="shared" si="4"/>
        <v>2.963386727688787</v>
      </c>
      <c r="E61" s="378">
        <f t="shared" si="4"/>
        <v>2.2448512585812357</v>
      </c>
      <c r="F61" s="378">
        <f t="shared" si="4"/>
        <v>1.6018306636155606</v>
      </c>
      <c r="G61" s="378">
        <f t="shared" si="4"/>
        <v>1.3157894736842106</v>
      </c>
      <c r="H61" s="378">
        <f t="shared" si="4"/>
        <v>1.28604118993135</v>
      </c>
      <c r="I61" s="378">
        <f t="shared" si="4"/>
        <v>1</v>
      </c>
      <c r="J61" s="378">
        <f t="shared" si="5"/>
        <v>0.8970251716247138</v>
      </c>
      <c r="K61" s="378">
        <f t="shared" si="5"/>
        <v>0</v>
      </c>
      <c r="M61" s="335">
        <v>0</v>
      </c>
      <c r="N61" s="335">
        <v>0</v>
      </c>
      <c r="O61" s="335">
        <v>0</v>
      </c>
      <c r="P61" s="335">
        <v>0</v>
      </c>
    </row>
    <row r="62" spans="1:16" ht="15">
      <c r="A62" s="320" t="s">
        <v>462</v>
      </c>
      <c r="B62" s="321" t="s">
        <v>442</v>
      </c>
      <c r="C62" s="378">
        <f aca="true" t="shared" si="6" ref="C62:K65">C40/$I40</f>
        <v>1.7732919254658386</v>
      </c>
      <c r="D62" s="378">
        <f t="shared" si="6"/>
        <v>4.580745341614907</v>
      </c>
      <c r="E62" s="378">
        <f t="shared" si="6"/>
        <v>2.127329192546584</v>
      </c>
      <c r="F62" s="378">
        <f t="shared" si="6"/>
        <v>1.6428571428571428</v>
      </c>
      <c r="G62" s="378">
        <f t="shared" si="6"/>
        <v>1.142857142857143</v>
      </c>
      <c r="H62" s="378">
        <f t="shared" si="6"/>
        <v>1.1024844720496896</v>
      </c>
      <c r="I62" s="378">
        <f t="shared" si="6"/>
        <v>1</v>
      </c>
      <c r="J62" s="378">
        <f t="shared" si="6"/>
        <v>0.9503105590062113</v>
      </c>
      <c r="K62" s="378">
        <f t="shared" si="6"/>
        <v>0.9316770186335404</v>
      </c>
      <c r="M62" s="335">
        <v>0</v>
      </c>
      <c r="N62" s="335">
        <v>0</v>
      </c>
      <c r="O62" s="335">
        <v>0</v>
      </c>
      <c r="P62" s="335">
        <v>0</v>
      </c>
    </row>
    <row r="63" spans="1:16" ht="15">
      <c r="A63" s="320" t="s">
        <v>463</v>
      </c>
      <c r="B63" s="321" t="s">
        <v>443</v>
      </c>
      <c r="C63" s="378">
        <f t="shared" si="6"/>
        <v>1.6834170854271358</v>
      </c>
      <c r="D63" s="378">
        <f t="shared" si="6"/>
        <v>3.977386934673367</v>
      </c>
      <c r="E63" s="378">
        <f t="shared" si="6"/>
        <v>2.3994974874371855</v>
      </c>
      <c r="F63" s="378">
        <f t="shared" si="6"/>
        <v>1.5452261306532664</v>
      </c>
      <c r="G63" s="378">
        <f t="shared" si="6"/>
        <v>1.4221105527638191</v>
      </c>
      <c r="H63" s="378">
        <f t="shared" si="6"/>
        <v>1.1030150753768844</v>
      </c>
      <c r="I63" s="378">
        <f t="shared" si="6"/>
        <v>1</v>
      </c>
      <c r="J63" s="378">
        <f t="shared" si="6"/>
        <v>0.9020100502512562</v>
      </c>
      <c r="K63" s="378">
        <f t="shared" si="6"/>
        <v>0.9045226130653267</v>
      </c>
      <c r="M63" s="335">
        <v>0</v>
      </c>
      <c r="N63" s="335">
        <v>0</v>
      </c>
      <c r="O63" s="335">
        <v>0</v>
      </c>
      <c r="P63" s="335">
        <v>0</v>
      </c>
    </row>
    <row r="64" spans="1:16" ht="15">
      <c r="A64" s="320" t="s">
        <v>464</v>
      </c>
      <c r="B64" s="321" t="s">
        <v>444</v>
      </c>
      <c r="C64" s="378">
        <f t="shared" si="6"/>
        <v>1.4061696658097687</v>
      </c>
      <c r="D64" s="378">
        <f t="shared" si="6"/>
        <v>2.604113110539845</v>
      </c>
      <c r="E64" s="378">
        <f t="shared" si="6"/>
        <v>1.6529562982005142</v>
      </c>
      <c r="F64" s="378">
        <f t="shared" si="6"/>
        <v>1.4832904884318765</v>
      </c>
      <c r="G64" s="378">
        <f t="shared" si="6"/>
        <v>1.2185089974293057</v>
      </c>
      <c r="H64" s="378">
        <f t="shared" si="6"/>
        <v>1.254498714652956</v>
      </c>
      <c r="I64" s="378">
        <f t="shared" si="6"/>
        <v>1</v>
      </c>
      <c r="J64" s="378">
        <f t="shared" si="6"/>
        <v>0.8406169665809768</v>
      </c>
      <c r="K64" s="378">
        <f t="shared" si="6"/>
        <v>0</v>
      </c>
      <c r="M64" s="335">
        <v>1</v>
      </c>
      <c r="N64" s="335">
        <v>0</v>
      </c>
      <c r="O64" s="335">
        <v>0</v>
      </c>
      <c r="P64" s="335">
        <v>0</v>
      </c>
    </row>
    <row r="65" spans="1:16" ht="15">
      <c r="A65" s="320" t="s">
        <v>465</v>
      </c>
      <c r="B65" s="321" t="s">
        <v>445</v>
      </c>
      <c r="C65" s="378">
        <f t="shared" si="6"/>
        <v>1.3186274509803921</v>
      </c>
      <c r="D65" s="378">
        <f t="shared" si="6"/>
        <v>3.5563725490196076</v>
      </c>
      <c r="E65" s="378">
        <f t="shared" si="6"/>
        <v>2.102941176470588</v>
      </c>
      <c r="F65" s="378">
        <f t="shared" si="6"/>
        <v>1.036764705882353</v>
      </c>
      <c r="G65" s="378">
        <f t="shared" si="6"/>
        <v>0.9313725490196079</v>
      </c>
      <c r="H65" s="378">
        <f t="shared" si="6"/>
        <v>1.0931372549019607</v>
      </c>
      <c r="I65" s="378">
        <f t="shared" si="6"/>
        <v>1</v>
      </c>
      <c r="J65" s="378">
        <f t="shared" si="6"/>
        <v>0</v>
      </c>
      <c r="K65" s="378">
        <f t="shared" si="6"/>
        <v>0</v>
      </c>
      <c r="M65" s="335">
        <v>0</v>
      </c>
      <c r="N65" s="335">
        <v>0</v>
      </c>
      <c r="O65" s="335">
        <v>0</v>
      </c>
      <c r="P65" s="335">
        <v>0</v>
      </c>
    </row>
    <row r="67" spans="1:20" ht="114.75">
      <c r="A67" s="551" t="s">
        <v>466</v>
      </c>
      <c r="B67" s="551"/>
      <c r="C67" s="322"/>
      <c r="D67" s="322"/>
      <c r="E67" s="382" t="s">
        <v>419</v>
      </c>
      <c r="F67" s="322"/>
      <c r="G67" s="382" t="s">
        <v>421</v>
      </c>
      <c r="H67" s="382" t="s">
        <v>159</v>
      </c>
      <c r="I67" s="382" t="s">
        <v>422</v>
      </c>
      <c r="J67" s="322"/>
      <c r="K67" s="322"/>
      <c r="L67" s="320" t="s">
        <v>569</v>
      </c>
      <c r="M67" s="340" t="s">
        <v>195</v>
      </c>
      <c r="N67" s="340" t="s">
        <v>321</v>
      </c>
      <c r="O67" s="340" t="s">
        <v>376</v>
      </c>
      <c r="P67" s="340" t="s">
        <v>377</v>
      </c>
      <c r="Q67" s="552" t="s">
        <v>577</v>
      </c>
      <c r="R67" s="553"/>
      <c r="S67" s="553"/>
      <c r="T67" s="553"/>
    </row>
    <row r="68" spans="1:20" ht="15">
      <c r="A68" s="320" t="s">
        <v>446</v>
      </c>
      <c r="B68" s="321" t="s">
        <v>426</v>
      </c>
      <c r="C68" s="378"/>
      <c r="D68" s="378"/>
      <c r="E68" s="378"/>
      <c r="F68" s="378"/>
      <c r="G68" s="378"/>
      <c r="H68" s="378"/>
      <c r="I68" s="378"/>
      <c r="J68" s="378"/>
      <c r="K68" s="378"/>
      <c r="L68" s="328"/>
      <c r="M68" s="335">
        <v>0</v>
      </c>
      <c r="N68" s="335">
        <v>0</v>
      </c>
      <c r="O68" s="335">
        <v>0</v>
      </c>
      <c r="P68" s="335">
        <v>0</v>
      </c>
      <c r="Q68" s="328"/>
      <c r="R68" s="328"/>
      <c r="S68" s="328"/>
      <c r="T68" s="328"/>
    </row>
    <row r="69" spans="1:20" ht="15">
      <c r="A69" s="320" t="s">
        <v>447</v>
      </c>
      <c r="B69" s="321" t="s">
        <v>427</v>
      </c>
      <c r="C69" s="378"/>
      <c r="D69" s="378"/>
      <c r="E69" s="378">
        <f aca="true" t="shared" si="7" ref="E69:E74">E47*$I69</f>
        <v>2.4265734265734267</v>
      </c>
      <c r="F69" s="378"/>
      <c r="G69" s="378">
        <f aca="true" t="shared" si="8" ref="G69:G74">G47*$I69</f>
        <v>1.2890442890442888</v>
      </c>
      <c r="H69" s="378">
        <f aca="true" t="shared" si="9" ref="H69:H86">H47*$I69</f>
        <v>1.1724941724941724</v>
      </c>
      <c r="I69" s="378">
        <f aca="true" t="shared" si="10" ref="I69:I86">I47/$I47*L69</f>
        <v>1</v>
      </c>
      <c r="J69" s="378"/>
      <c r="K69" s="378"/>
      <c r="L69" s="328">
        <f aca="true" t="shared" si="11" ref="L69:L86">SUM(Q69:T69)</f>
        <v>1</v>
      </c>
      <c r="M69" s="335">
        <v>0</v>
      </c>
      <c r="N69" s="335">
        <v>0</v>
      </c>
      <c r="O69" s="335">
        <v>1</v>
      </c>
      <c r="P69" s="335">
        <v>0</v>
      </c>
      <c r="Q69" s="328"/>
      <c r="R69" s="328"/>
      <c r="S69" s="328">
        <f>'Pievienotā vērtība'!N26</f>
        <v>1</v>
      </c>
      <c r="T69" s="328"/>
    </row>
    <row r="70" spans="1:20" ht="15">
      <c r="A70" s="320" t="s">
        <v>448</v>
      </c>
      <c r="B70" s="321" t="s">
        <v>428</v>
      </c>
      <c r="C70" s="378"/>
      <c r="D70" s="378"/>
      <c r="E70" s="378">
        <f t="shared" si="7"/>
        <v>0.02277460323973861</v>
      </c>
      <c r="F70" s="378"/>
      <c r="G70" s="378">
        <f t="shared" si="8"/>
        <v>0.016026572650186425</v>
      </c>
      <c r="H70" s="378">
        <f t="shared" si="9"/>
        <v>0.013559323965881413</v>
      </c>
      <c r="I70" s="378">
        <f t="shared" si="10"/>
        <v>0.01353823637028906</v>
      </c>
      <c r="J70" s="378"/>
      <c r="K70" s="378"/>
      <c r="L70" s="328">
        <f t="shared" si="11"/>
        <v>0.01353823637028906</v>
      </c>
      <c r="M70" s="335">
        <v>0</v>
      </c>
      <c r="N70" s="335">
        <v>1</v>
      </c>
      <c r="O70" s="335">
        <v>0</v>
      </c>
      <c r="P70" s="335">
        <v>0</v>
      </c>
      <c r="Q70" s="328"/>
      <c r="R70" s="328">
        <f>'Pievienotā vērtība'!M27</f>
        <v>0.01353823637028906</v>
      </c>
      <c r="S70" s="328"/>
      <c r="T70" s="328"/>
    </row>
    <row r="71" spans="1:20" ht="15">
      <c r="A71" s="320" t="s">
        <v>449</v>
      </c>
      <c r="B71" s="321" t="s">
        <v>429</v>
      </c>
      <c r="C71" s="378"/>
      <c r="D71" s="378"/>
      <c r="E71" s="378">
        <f t="shared" si="7"/>
        <v>0.7411059725396341</v>
      </c>
      <c r="F71" s="378"/>
      <c r="G71" s="378">
        <f t="shared" si="8"/>
        <v>0.4916953087041802</v>
      </c>
      <c r="H71" s="378">
        <f t="shared" si="9"/>
        <v>0.47298950891652125</v>
      </c>
      <c r="I71" s="378">
        <f t="shared" si="10"/>
        <v>0.43468715697036225</v>
      </c>
      <c r="J71" s="378"/>
      <c r="K71" s="378"/>
      <c r="L71" s="328">
        <f t="shared" si="11"/>
        <v>0.43468715697036225</v>
      </c>
      <c r="M71" s="335">
        <v>0</v>
      </c>
      <c r="N71" s="335">
        <v>1</v>
      </c>
      <c r="O71" s="335">
        <v>0</v>
      </c>
      <c r="P71" s="335">
        <v>0</v>
      </c>
      <c r="Q71" s="328"/>
      <c r="R71" s="328">
        <f>'Pievienotā vērtība'!M28</f>
        <v>0.43468715697036225</v>
      </c>
      <c r="S71" s="328"/>
      <c r="T71" s="328"/>
    </row>
    <row r="72" spans="1:20" ht="15">
      <c r="A72" s="320" t="s">
        <v>450</v>
      </c>
      <c r="B72" s="321" t="s">
        <v>430</v>
      </c>
      <c r="C72" s="378"/>
      <c r="D72" s="378"/>
      <c r="E72" s="378">
        <f t="shared" si="7"/>
        <v>0.08812479708105934</v>
      </c>
      <c r="F72" s="378"/>
      <c r="G72" s="378">
        <f t="shared" si="8"/>
        <v>0.05013616275037712</v>
      </c>
      <c r="H72" s="378">
        <f t="shared" si="9"/>
        <v>0.04247953877675125</v>
      </c>
      <c r="I72" s="378">
        <f t="shared" si="10"/>
        <v>0.03658982802780827</v>
      </c>
      <c r="J72" s="378"/>
      <c r="K72" s="378"/>
      <c r="L72" s="328">
        <f t="shared" si="11"/>
        <v>0.03658982802780827</v>
      </c>
      <c r="M72" s="335">
        <v>0</v>
      </c>
      <c r="N72" s="335">
        <v>1</v>
      </c>
      <c r="O72" s="335">
        <v>0</v>
      </c>
      <c r="P72" s="335">
        <v>0</v>
      </c>
      <c r="Q72" s="328"/>
      <c r="R72" s="328">
        <f>'Pievienotā vērtība'!M29</f>
        <v>0.03658982802780827</v>
      </c>
      <c r="S72" s="328"/>
      <c r="T72" s="328"/>
    </row>
    <row r="73" spans="1:20" ht="15">
      <c r="A73" s="320" t="s">
        <v>451</v>
      </c>
      <c r="B73" s="321" t="s">
        <v>431</v>
      </c>
      <c r="C73" s="378"/>
      <c r="D73" s="378"/>
      <c r="E73" s="378">
        <f t="shared" si="7"/>
        <v>0.03608514074466609</v>
      </c>
      <c r="F73" s="378"/>
      <c r="G73" s="378">
        <f t="shared" si="8"/>
        <v>0.02256232537469526</v>
      </c>
      <c r="H73" s="378">
        <f t="shared" si="9"/>
        <v>0.020739843518904042</v>
      </c>
      <c r="I73" s="378">
        <f t="shared" si="10"/>
        <v>0.0190267105744603</v>
      </c>
      <c r="J73" s="378"/>
      <c r="K73" s="378"/>
      <c r="L73" s="328">
        <f t="shared" si="11"/>
        <v>0.0190267105744603</v>
      </c>
      <c r="M73" s="335">
        <v>0</v>
      </c>
      <c r="N73" s="335">
        <v>1</v>
      </c>
      <c r="O73" s="335">
        <v>0</v>
      </c>
      <c r="P73" s="335">
        <v>0</v>
      </c>
      <c r="Q73" s="328"/>
      <c r="R73" s="328">
        <f>'Pievienotā vērtība'!M30</f>
        <v>0.0190267105744603</v>
      </c>
      <c r="S73" s="328"/>
      <c r="T73" s="328"/>
    </row>
    <row r="74" spans="1:20" ht="15">
      <c r="A74" s="320" t="s">
        <v>452</v>
      </c>
      <c r="B74" s="321" t="s">
        <v>432</v>
      </c>
      <c r="C74" s="378"/>
      <c r="D74" s="378"/>
      <c r="E74" s="378">
        <f t="shared" si="7"/>
        <v>0.4152244233977717</v>
      </c>
      <c r="F74" s="378"/>
      <c r="G74" s="378">
        <f t="shared" si="8"/>
        <v>0.28003507624500884</v>
      </c>
      <c r="H74" s="378">
        <f t="shared" si="9"/>
        <v>0.26326346550801194</v>
      </c>
      <c r="I74" s="378">
        <f t="shared" si="10"/>
        <v>0.2678375411635565</v>
      </c>
      <c r="J74" s="378"/>
      <c r="K74" s="378"/>
      <c r="L74" s="328">
        <f t="shared" si="11"/>
        <v>0.2678375411635565</v>
      </c>
      <c r="M74" s="335">
        <v>0</v>
      </c>
      <c r="N74" s="335">
        <v>1</v>
      </c>
      <c r="O74" s="335">
        <v>0</v>
      </c>
      <c r="P74" s="335">
        <v>0</v>
      </c>
      <c r="Q74" s="328"/>
      <c r="R74" s="328">
        <f>'Pievienotā vērtība'!M31</f>
        <v>0.2678375411635565</v>
      </c>
      <c r="S74" s="328"/>
      <c r="T74" s="328"/>
    </row>
    <row r="75" spans="1:20" ht="15">
      <c r="A75" s="320" t="s">
        <v>453</v>
      </c>
      <c r="B75" s="321" t="s">
        <v>433</v>
      </c>
      <c r="C75" s="378"/>
      <c r="D75" s="378"/>
      <c r="E75" s="378"/>
      <c r="F75" s="378"/>
      <c r="G75" s="378"/>
      <c r="H75" s="378"/>
      <c r="I75" s="378"/>
      <c r="J75" s="378"/>
      <c r="K75" s="378"/>
      <c r="L75" s="328"/>
      <c r="M75" s="335">
        <v>0</v>
      </c>
      <c r="N75" s="335">
        <v>0</v>
      </c>
      <c r="O75" s="335">
        <v>0</v>
      </c>
      <c r="P75" s="335">
        <v>0</v>
      </c>
      <c r="Q75" s="328"/>
      <c r="R75" s="328"/>
      <c r="S75" s="328"/>
      <c r="T75" s="328"/>
    </row>
    <row r="76" spans="1:20" ht="15">
      <c r="A76" s="320" t="s">
        <v>454</v>
      </c>
      <c r="B76" s="321" t="s">
        <v>434</v>
      </c>
      <c r="C76" s="378"/>
      <c r="D76" s="378"/>
      <c r="E76" s="378"/>
      <c r="F76" s="378"/>
      <c r="G76" s="378"/>
      <c r="H76" s="378"/>
      <c r="I76" s="378"/>
      <c r="J76" s="378"/>
      <c r="K76" s="378"/>
      <c r="L76" s="328"/>
      <c r="M76" s="335">
        <v>0</v>
      </c>
      <c r="N76" s="335">
        <v>0</v>
      </c>
      <c r="O76" s="335">
        <v>0</v>
      </c>
      <c r="P76" s="335">
        <v>0</v>
      </c>
      <c r="Q76" s="328"/>
      <c r="R76" s="328"/>
      <c r="S76" s="328"/>
      <c r="T76" s="328"/>
    </row>
    <row r="77" spans="1:20" ht="15">
      <c r="A77" s="320" t="s">
        <v>455</v>
      </c>
      <c r="B77" s="321" t="s">
        <v>435</v>
      </c>
      <c r="C77" s="378"/>
      <c r="D77" s="378"/>
      <c r="E77" s="378">
        <f>E55*$I77</f>
        <v>1.7164556962025317</v>
      </c>
      <c r="F77" s="378"/>
      <c r="G77" s="378">
        <f>G55*$I77</f>
        <v>1.0582278481012657</v>
      </c>
      <c r="H77" s="378">
        <f t="shared" si="9"/>
        <v>1.2759493670886077</v>
      </c>
      <c r="I77" s="378">
        <f t="shared" si="10"/>
        <v>1</v>
      </c>
      <c r="J77" s="378"/>
      <c r="K77" s="378"/>
      <c r="L77" s="328">
        <f t="shared" si="11"/>
        <v>1</v>
      </c>
      <c r="M77" s="335">
        <v>0</v>
      </c>
      <c r="N77" s="335">
        <v>0</v>
      </c>
      <c r="O77" s="335">
        <v>0</v>
      </c>
      <c r="P77" s="335">
        <v>1</v>
      </c>
      <c r="Q77" s="328"/>
      <c r="R77" s="328"/>
      <c r="S77" s="328"/>
      <c r="T77" s="328">
        <f>'Pievienotā vērtība'!O34</f>
        <v>1</v>
      </c>
    </row>
    <row r="78" spans="1:20" ht="15">
      <c r="A78" s="320" t="s">
        <v>456</v>
      </c>
      <c r="B78" s="321" t="s">
        <v>436</v>
      </c>
      <c r="C78" s="378"/>
      <c r="D78" s="378"/>
      <c r="E78" s="378">
        <f>E56*$I78</f>
        <v>0.2598677162343463</v>
      </c>
      <c r="F78" s="378"/>
      <c r="G78" s="378">
        <f>G56*$I78</f>
        <v>0.14846487541328374</v>
      </c>
      <c r="H78" s="378">
        <f t="shared" si="9"/>
        <v>0.16840468349798757</v>
      </c>
      <c r="I78" s="378">
        <f t="shared" si="10"/>
        <v>0.09623124771313575</v>
      </c>
      <c r="J78" s="378"/>
      <c r="K78" s="378"/>
      <c r="L78" s="328">
        <f t="shared" si="11"/>
        <v>0.09623124771313575</v>
      </c>
      <c r="M78" s="335">
        <v>0</v>
      </c>
      <c r="N78" s="335">
        <v>1</v>
      </c>
      <c r="O78" s="335">
        <v>0</v>
      </c>
      <c r="P78" s="335">
        <v>0</v>
      </c>
      <c r="Q78" s="328"/>
      <c r="R78" s="328">
        <f>'Pievienotā vērtība'!M35</f>
        <v>0.09623124771313575</v>
      </c>
      <c r="S78" s="328"/>
      <c r="T78" s="328"/>
    </row>
    <row r="79" spans="1:20" ht="15">
      <c r="A79" s="320" t="s">
        <v>457</v>
      </c>
      <c r="B79" s="321" t="s">
        <v>437</v>
      </c>
      <c r="C79" s="378"/>
      <c r="D79" s="378"/>
      <c r="E79" s="378"/>
      <c r="F79" s="378"/>
      <c r="G79" s="378"/>
      <c r="H79" s="378"/>
      <c r="I79" s="378"/>
      <c r="J79" s="378"/>
      <c r="K79" s="378"/>
      <c r="L79" s="328"/>
      <c r="M79" s="335">
        <v>0</v>
      </c>
      <c r="N79" s="335">
        <v>0</v>
      </c>
      <c r="O79" s="335">
        <v>0</v>
      </c>
      <c r="P79" s="335">
        <v>0</v>
      </c>
      <c r="Q79" s="328"/>
      <c r="R79" s="328"/>
      <c r="S79" s="328"/>
      <c r="T79" s="328"/>
    </row>
    <row r="80" spans="1:20" ht="15">
      <c r="A80" s="320" t="s">
        <v>458</v>
      </c>
      <c r="B80" s="321" t="s">
        <v>438</v>
      </c>
      <c r="C80" s="378"/>
      <c r="D80" s="378"/>
      <c r="E80" s="378"/>
      <c r="F80" s="378"/>
      <c r="G80" s="378"/>
      <c r="H80" s="378"/>
      <c r="I80" s="378"/>
      <c r="J80" s="378"/>
      <c r="K80" s="378"/>
      <c r="L80" s="328"/>
      <c r="M80" s="335">
        <v>0</v>
      </c>
      <c r="N80" s="335">
        <v>0</v>
      </c>
      <c r="O80" s="335">
        <v>0</v>
      </c>
      <c r="P80" s="335">
        <v>0</v>
      </c>
      <c r="Q80" s="328"/>
      <c r="R80" s="328"/>
      <c r="S80" s="328"/>
      <c r="T80" s="328"/>
    </row>
    <row r="81" spans="1:20" ht="15">
      <c r="A81" s="320" t="s">
        <v>459</v>
      </c>
      <c r="B81" s="321" t="s">
        <v>439</v>
      </c>
      <c r="C81" s="378"/>
      <c r="D81" s="378"/>
      <c r="E81" s="378">
        <f>E59*$I81</f>
        <v>0.23945596600081007</v>
      </c>
      <c r="F81" s="378"/>
      <c r="G81" s="378">
        <f>G59*$I81</f>
        <v>0.13185382591981676</v>
      </c>
      <c r="H81" s="378">
        <f t="shared" si="9"/>
        <v>0.11984570963069058</v>
      </c>
      <c r="I81" s="378">
        <f t="shared" si="10"/>
        <v>0.13208927918038785</v>
      </c>
      <c r="J81" s="378"/>
      <c r="K81" s="378"/>
      <c r="L81" s="328">
        <f t="shared" si="11"/>
        <v>0.13208927918038785</v>
      </c>
      <c r="M81" s="335">
        <v>0</v>
      </c>
      <c r="N81" s="335">
        <v>1</v>
      </c>
      <c r="O81" s="335">
        <v>0</v>
      </c>
      <c r="P81" s="335">
        <v>0</v>
      </c>
      <c r="Q81" s="328"/>
      <c r="R81" s="328">
        <f>'Pievienotā vērtība'!M38</f>
        <v>0.13208927918038785</v>
      </c>
      <c r="S81" s="328"/>
      <c r="T81" s="328"/>
    </row>
    <row r="82" spans="1:20" ht="15">
      <c r="A82" s="320" t="s">
        <v>460</v>
      </c>
      <c r="B82" s="321" t="s">
        <v>440</v>
      </c>
      <c r="C82" s="378"/>
      <c r="D82" s="378"/>
      <c r="E82" s="378"/>
      <c r="F82" s="378"/>
      <c r="G82" s="378"/>
      <c r="H82" s="378"/>
      <c r="I82" s="378"/>
      <c r="J82" s="378"/>
      <c r="K82" s="378"/>
      <c r="L82" s="328"/>
      <c r="M82" s="335">
        <v>0</v>
      </c>
      <c r="N82" s="335">
        <v>0</v>
      </c>
      <c r="O82" s="335">
        <v>0</v>
      </c>
      <c r="P82" s="335">
        <v>0</v>
      </c>
      <c r="Q82" s="328"/>
      <c r="R82" s="328"/>
      <c r="S82" s="328"/>
      <c r="T82" s="328"/>
    </row>
    <row r="83" spans="1:20" ht="15">
      <c r="A83" s="320" t="s">
        <v>461</v>
      </c>
      <c r="B83" s="321" t="s">
        <v>441</v>
      </c>
      <c r="C83" s="378"/>
      <c r="D83" s="378"/>
      <c r="E83" s="378"/>
      <c r="F83" s="378"/>
      <c r="G83" s="378"/>
      <c r="H83" s="378"/>
      <c r="I83" s="378"/>
      <c r="J83" s="378"/>
      <c r="K83" s="378"/>
      <c r="L83" s="328"/>
      <c r="M83" s="335">
        <v>0</v>
      </c>
      <c r="N83" s="335">
        <v>0</v>
      </c>
      <c r="O83" s="335">
        <v>0</v>
      </c>
      <c r="P83" s="335">
        <v>0</v>
      </c>
      <c r="Q83" s="328"/>
      <c r="R83" s="328"/>
      <c r="S83" s="328"/>
      <c r="T83" s="328"/>
    </row>
    <row r="84" spans="1:20" ht="15">
      <c r="A84" s="320" t="s">
        <v>462</v>
      </c>
      <c r="B84" s="321" t="s">
        <v>442</v>
      </c>
      <c r="C84" s="378"/>
      <c r="D84" s="378"/>
      <c r="E84" s="378"/>
      <c r="F84" s="378"/>
      <c r="G84" s="378"/>
      <c r="H84" s="378"/>
      <c r="I84" s="378"/>
      <c r="J84" s="378"/>
      <c r="K84" s="378"/>
      <c r="L84" s="328"/>
      <c r="M84" s="335">
        <v>0</v>
      </c>
      <c r="N84" s="335">
        <v>0</v>
      </c>
      <c r="O84" s="335">
        <v>0</v>
      </c>
      <c r="P84" s="335">
        <v>0</v>
      </c>
      <c r="Q84" s="328"/>
      <c r="R84" s="328"/>
      <c r="S84" s="328"/>
      <c r="T84" s="328"/>
    </row>
    <row r="85" spans="1:20" ht="15">
      <c r="A85" s="320" t="s">
        <v>463</v>
      </c>
      <c r="B85" s="321" t="s">
        <v>443</v>
      </c>
      <c r="C85" s="378"/>
      <c r="D85" s="378"/>
      <c r="E85" s="378"/>
      <c r="F85" s="378"/>
      <c r="G85" s="378"/>
      <c r="H85" s="378"/>
      <c r="I85" s="378"/>
      <c r="J85" s="378"/>
      <c r="K85" s="378"/>
      <c r="L85" s="328"/>
      <c r="M85" s="335">
        <v>0</v>
      </c>
      <c r="N85" s="335">
        <v>0</v>
      </c>
      <c r="O85" s="335">
        <v>0</v>
      </c>
      <c r="P85" s="335">
        <v>0</v>
      </c>
      <c r="Q85" s="328"/>
      <c r="R85" s="328"/>
      <c r="S85" s="328"/>
      <c r="T85" s="328"/>
    </row>
    <row r="86" spans="1:20" ht="15">
      <c r="A86" s="320" t="s">
        <v>464</v>
      </c>
      <c r="B86" s="321" t="s">
        <v>444</v>
      </c>
      <c r="C86" s="378"/>
      <c r="D86" s="378"/>
      <c r="E86" s="378">
        <f>E64*$I86</f>
        <v>1.6529562982005142</v>
      </c>
      <c r="F86" s="378"/>
      <c r="G86" s="378">
        <f>G64*$I86</f>
        <v>1.2185089974293057</v>
      </c>
      <c r="H86" s="378">
        <f t="shared" si="9"/>
        <v>1.254498714652956</v>
      </c>
      <c r="I86" s="378">
        <f t="shared" si="10"/>
        <v>1</v>
      </c>
      <c r="J86" s="378"/>
      <c r="K86" s="378"/>
      <c r="L86" s="328">
        <f t="shared" si="11"/>
        <v>1</v>
      </c>
      <c r="M86" s="335">
        <v>1</v>
      </c>
      <c r="N86" s="335">
        <v>0</v>
      </c>
      <c r="O86" s="335">
        <v>0</v>
      </c>
      <c r="P86" s="335">
        <v>0</v>
      </c>
      <c r="Q86" s="328">
        <f>'Pievienotā vērtība'!L43</f>
        <v>1</v>
      </c>
      <c r="R86" s="328"/>
      <c r="S86" s="328"/>
      <c r="T86" s="328"/>
    </row>
    <row r="87" spans="1:20" ht="15">
      <c r="A87" s="320" t="s">
        <v>465</v>
      </c>
      <c r="B87" s="321" t="s">
        <v>445</v>
      </c>
      <c r="C87" s="378"/>
      <c r="D87" s="378"/>
      <c r="E87" s="378"/>
      <c r="F87" s="378"/>
      <c r="G87" s="378"/>
      <c r="H87" s="378"/>
      <c r="I87" s="378"/>
      <c r="J87" s="378"/>
      <c r="K87" s="378"/>
      <c r="L87" s="328"/>
      <c r="M87" s="335">
        <v>0</v>
      </c>
      <c r="N87" s="335">
        <v>0</v>
      </c>
      <c r="O87" s="335">
        <v>0</v>
      </c>
      <c r="P87" s="335">
        <v>0</v>
      </c>
      <c r="Q87" s="328"/>
      <c r="R87" s="328"/>
      <c r="S87" s="328"/>
      <c r="T87" s="328"/>
    </row>
    <row r="89" spans="2:11" ht="32.25" customHeight="1">
      <c r="B89" s="383" t="s">
        <v>563</v>
      </c>
      <c r="C89" s="384" t="s">
        <v>396</v>
      </c>
      <c r="D89" s="384" t="s">
        <v>562</v>
      </c>
      <c r="E89" s="384" t="s">
        <v>566</v>
      </c>
      <c r="F89" s="384" t="s">
        <v>158</v>
      </c>
      <c r="G89" s="384" t="s">
        <v>565</v>
      </c>
      <c r="H89" s="384" t="s">
        <v>564</v>
      </c>
      <c r="I89" s="320"/>
      <c r="J89" s="320"/>
      <c r="K89" s="320"/>
    </row>
    <row r="90" spans="2:11" ht="14.25">
      <c r="B90" s="340" t="s">
        <v>195</v>
      </c>
      <c r="C90" s="385">
        <f>_xlfn.SUMIFS(E$46:E$65,M$46:M$65,1)/SUM(M$46:M$65)</f>
        <v>1.6529562982005142</v>
      </c>
      <c r="D90" s="385">
        <f>_xlfn.SUMIFS(G$46:G$65,M$46:M$65,1)/SUM(M$46:M$65)</f>
        <v>1.2185089974293057</v>
      </c>
      <c r="E90" s="385">
        <f>_xlfn.SUMIFS(H$46:H$65,M$46:M$65,1)/SUM(M$46:M$65)</f>
        <v>1.254498714652956</v>
      </c>
      <c r="F90" s="385">
        <f>_xlfn.SUMIFS(I$46:I$65,M$46:M$65,1)/SUM(M$46:M$65)</f>
        <v>1</v>
      </c>
      <c r="G90" s="386">
        <f>_xlfn.SUMIFS(I$24:I$43,M$24:M$43,1)/SUM(M$24:M$43)</f>
        <v>548.7024482109229</v>
      </c>
      <c r="H90" s="386">
        <f>G90*12</f>
        <v>6584.429378531075</v>
      </c>
      <c r="I90" s="320"/>
      <c r="J90" s="320"/>
      <c r="K90" s="320"/>
    </row>
    <row r="91" spans="2:8" ht="14.25">
      <c r="B91" s="340" t="s">
        <v>321</v>
      </c>
      <c r="C91" s="385">
        <f>_xlfn.SUMIFS(E$46:E$65,N$46:N$65,1)/SUM(N$46:N$65)</f>
        <v>1.9651046795478258</v>
      </c>
      <c r="D91" s="385">
        <f>_xlfn.SUMIFS(G$46:G$65,N$46:N$65,1)/SUM(N$46:N$65)</f>
        <v>1.2082206150508699</v>
      </c>
      <c r="E91" s="385">
        <f>_xlfn.SUMIFS(H$46:H$65,N$46:N$65,1)/SUM(N$46:N$65)</f>
        <v>1.1401295820681578</v>
      </c>
      <c r="F91" s="385">
        <f>_xlfn.SUMIFS(I$46:I$65,N$46:N$65,1)/SUM(N$46:N$65)</f>
        <v>1</v>
      </c>
      <c r="G91" s="386">
        <f>_xlfn.SUMIFS(I$24:I$43,N$24:N$43,1)/SUM(N$24:N$43)</f>
        <v>657.8810412600316</v>
      </c>
      <c r="H91" s="386">
        <f>G91*12</f>
        <v>7894.572495120379</v>
      </c>
    </row>
    <row r="92" spans="2:8" ht="14.25">
      <c r="B92" s="340" t="s">
        <v>376</v>
      </c>
      <c r="C92" s="385">
        <f>_xlfn.SUMIFS(E$46:E$65,O$46:O$65,1)/SUM(O$46:O$65)</f>
        <v>2.4265734265734267</v>
      </c>
      <c r="D92" s="385">
        <f>_xlfn.SUMIFS(G$46:G$65,O$46:O$65,1)/SUM(O$46:O$65)</f>
        <v>1.2890442890442888</v>
      </c>
      <c r="E92" s="385">
        <f>_xlfn.SUMIFS(H$46:H$65,O$46:O$65,1)/SUM(O$46:O$65)</f>
        <v>1.1724941724941724</v>
      </c>
      <c r="F92" s="385">
        <f>_xlfn.SUMIFS(I$46:I$65,O$46:O$65,1)/SUM(O$46:O$65)</f>
        <v>1</v>
      </c>
      <c r="G92" s="386">
        <f>_xlfn.SUMIFS(I$24:I$43,O$24:O$43,1)/SUM(O$24:O$43)</f>
        <v>552.948635634029</v>
      </c>
      <c r="H92" s="386">
        <f>G92*12</f>
        <v>6635.3836276083475</v>
      </c>
    </row>
    <row r="93" spans="2:8" ht="14.25">
      <c r="B93" s="340" t="s">
        <v>377</v>
      </c>
      <c r="C93" s="385">
        <f>_xlfn.SUMIFS(E$46:E$65,P$46:P$65,1)/SUM(P$46:P$65)</f>
        <v>1.7164556962025317</v>
      </c>
      <c r="D93" s="385">
        <f>_xlfn.SUMIFS(G$46:G$65,P$46:P$65,1)/SUM(P$46:P$65)</f>
        <v>1.0582278481012657</v>
      </c>
      <c r="E93" s="385">
        <f>_xlfn.SUMIFS(H$46:H$65,P$46:P$65,1)/SUM(P$46:P$65)</f>
        <v>1.2759493670886077</v>
      </c>
      <c r="F93" s="385">
        <f>_xlfn.SUMIFS(I$46:I$65,P$46:P$65,1)/SUM(P$46:P$65)</f>
        <v>1</v>
      </c>
      <c r="G93" s="386">
        <f>_xlfn.SUMIFS(I$24:I$43,P$24:P$43,1)/SUM(P$24:P$43)</f>
        <v>533.4436274509804</v>
      </c>
      <c r="H93" s="386">
        <f>G93*12</f>
        <v>6401.323529411766</v>
      </c>
    </row>
    <row r="94" spans="8:12" ht="14.25">
      <c r="H94" s="320"/>
      <c r="L94" s="323"/>
    </row>
    <row r="95" ht="14.25">
      <c r="B95" s="320" t="s">
        <v>570</v>
      </c>
    </row>
    <row r="96" spans="2:8" ht="28.5">
      <c r="B96" s="383" t="s">
        <v>563</v>
      </c>
      <c r="C96" s="384" t="s">
        <v>396</v>
      </c>
      <c r="D96" s="384" t="s">
        <v>562</v>
      </c>
      <c r="E96" s="384" t="s">
        <v>566</v>
      </c>
      <c r="F96" s="384" t="s">
        <v>158</v>
      </c>
      <c r="G96" s="384" t="s">
        <v>565</v>
      </c>
      <c r="H96" s="384" t="s">
        <v>564</v>
      </c>
    </row>
    <row r="97" spans="2:8" ht="14.25">
      <c r="B97" s="340" t="s">
        <v>195</v>
      </c>
      <c r="C97" s="385">
        <f>_xlfn.SUMIFS(E$68:E$87,M$68:M$87,1)</f>
        <v>1.6529562982005142</v>
      </c>
      <c r="D97" s="385">
        <f>_xlfn.SUMIFS(G$68:G$87,M$68:M$87,1)</f>
        <v>1.2185089974293057</v>
      </c>
      <c r="E97" s="385">
        <f>_xlfn.SUMIFS(H$68:H$87,M$68:M$87,1)</f>
        <v>1.254498714652956</v>
      </c>
      <c r="F97" s="385">
        <f>_xlfn.SUMIFS(I$68:I$87,M$68:M$87,1)</f>
        <v>1</v>
      </c>
      <c r="G97" s="386">
        <f>_xlfn.SUMIFS(I$24:I$43,M$24:M$43,1)/SUM(M$24:M$43)</f>
        <v>548.7024482109229</v>
      </c>
      <c r="H97" s="386">
        <f>G97*12</f>
        <v>6584.429378531075</v>
      </c>
    </row>
    <row r="98" spans="2:8" ht="14.25">
      <c r="B98" s="340" t="s">
        <v>321</v>
      </c>
      <c r="C98" s="385">
        <f>_xlfn.SUMIFS(E$68:E$87,N$68:N$87,1)</f>
        <v>1.8026386192380262</v>
      </c>
      <c r="D98" s="385">
        <f>_xlfn.SUMIFS(G$68:G$87,N$68:N$87,1)</f>
        <v>1.1407741470575485</v>
      </c>
      <c r="E98" s="385">
        <f>_xlfn.SUMIFS(H$68:H$87,N$68:N$87,1)</f>
        <v>1.101282073814748</v>
      </c>
      <c r="F98" s="385">
        <f>_xlfn.SUMIFS(I$68:I$87,N$68:N$87,1)</f>
        <v>0.9999999999999999</v>
      </c>
      <c r="G98" s="386">
        <f>_xlfn.SUMIFS(I$24:I$43,N$24:N$43,1)/SUM(N$24:N$43)</f>
        <v>657.8810412600316</v>
      </c>
      <c r="H98" s="386">
        <f>G98*12</f>
        <v>7894.572495120379</v>
      </c>
    </row>
    <row r="99" spans="2:8" ht="14.25">
      <c r="B99" s="340" t="s">
        <v>376</v>
      </c>
      <c r="C99" s="385">
        <f>_xlfn.SUMIFS(E$68:E$87,O$68:O$87,1)</f>
        <v>2.4265734265734267</v>
      </c>
      <c r="D99" s="385">
        <f>_xlfn.SUMIFS(G$68:G$87,O$68:O$87,1)</f>
        <v>1.2890442890442888</v>
      </c>
      <c r="E99" s="385">
        <f>_xlfn.SUMIFS(H$68:H$87,O$68:O$87,1)</f>
        <v>1.1724941724941724</v>
      </c>
      <c r="F99" s="385">
        <f>_xlfn.SUMIFS(I$68:I$87,O$68:O$87,1)</f>
        <v>1</v>
      </c>
      <c r="G99" s="386">
        <f>_xlfn.SUMIFS(I$24:I$43,O$24:O$43,1)/SUM(O$24:O$43)</f>
        <v>552.948635634029</v>
      </c>
      <c r="H99" s="386">
        <f>G99*12</f>
        <v>6635.3836276083475</v>
      </c>
    </row>
    <row r="100" spans="2:8" ht="14.25">
      <c r="B100" s="340" t="s">
        <v>377</v>
      </c>
      <c r="C100" s="385">
        <f>_xlfn.SUMIFS(E$68:E$87,P$68:P$87,1)</f>
        <v>1.7164556962025317</v>
      </c>
      <c r="D100" s="385">
        <f>_xlfn.SUMIFS(G$68:G$87,P$68:P$87,1)</f>
        <v>1.0582278481012657</v>
      </c>
      <c r="E100" s="385">
        <f>_xlfn.SUMIFS(H$68:H$87,P$68:P$87,1)</f>
        <v>1.2759493670886077</v>
      </c>
      <c r="F100" s="385">
        <f>_xlfn.SUMIFS(I$68:I$87,P$68:P$87,1)</f>
        <v>1</v>
      </c>
      <c r="G100" s="386">
        <f>_xlfn.SUMIFS(I$24:I$43,P$24:P$43,1)/SUM(P$24:P$43)</f>
        <v>533.4436274509804</v>
      </c>
      <c r="H100" s="386">
        <f>G100*12</f>
        <v>6401.323529411766</v>
      </c>
    </row>
    <row r="102" spans="3:8" ht="14.25">
      <c r="C102" s="389"/>
      <c r="D102" s="389"/>
      <c r="E102" s="389"/>
      <c r="F102" s="389"/>
      <c r="G102" s="389"/>
      <c r="H102" s="389"/>
    </row>
    <row r="103" spans="3:8" ht="14.25">
      <c r="C103" s="389"/>
      <c r="D103" s="389"/>
      <c r="E103" s="389"/>
      <c r="F103" s="389"/>
      <c r="G103" s="389"/>
      <c r="H103" s="389"/>
    </row>
    <row r="104" spans="3:8" ht="14.25">
      <c r="C104" s="389"/>
      <c r="D104" s="389"/>
      <c r="E104" s="389"/>
      <c r="F104" s="389"/>
      <c r="G104" s="389"/>
      <c r="H104" s="389"/>
    </row>
    <row r="105" spans="2:8" ht="14.25">
      <c r="B105" s="389"/>
      <c r="C105" s="384" t="s">
        <v>396</v>
      </c>
      <c r="D105" s="384" t="s">
        <v>562</v>
      </c>
      <c r="E105" s="384" t="s">
        <v>566</v>
      </c>
      <c r="F105" s="384" t="s">
        <v>158</v>
      </c>
      <c r="G105" s="389"/>
      <c r="H105" s="389"/>
    </row>
    <row r="106" spans="1:6" ht="15">
      <c r="A106" t="s">
        <v>703</v>
      </c>
      <c r="B106"/>
      <c r="C106" s="314">
        <f>E24</f>
        <v>1183.1653786707882</v>
      </c>
      <c r="D106" s="377">
        <f>G24</f>
        <v>701.8114374034002</v>
      </c>
      <c r="E106" s="377">
        <f>H24</f>
        <v>675.7217928902627</v>
      </c>
      <c r="F106" s="377">
        <f>I24</f>
        <v>605.2797527047912</v>
      </c>
    </row>
    <row r="107" spans="1:6" ht="15">
      <c r="A107" t="s">
        <v>702</v>
      </c>
      <c r="B107">
        <v>0.5</v>
      </c>
      <c r="C107" s="314">
        <f>C106*$B$107</f>
        <v>591.5826893353941</v>
      </c>
      <c r="D107" s="314">
        <f>D106*$B$107</f>
        <v>350.9057187017001</v>
      </c>
      <c r="E107" s="314">
        <f>E106*$B$107</f>
        <v>337.86089644513135</v>
      </c>
      <c r="F107" s="314">
        <f>F106*$B$107</f>
        <v>302.6398763523956</v>
      </c>
    </row>
    <row r="108" spans="1:6" ht="15">
      <c r="A108"/>
      <c r="B108"/>
      <c r="C108" s="314"/>
      <c r="D108" s="314"/>
      <c r="E108" s="314"/>
      <c r="F108" s="314"/>
    </row>
    <row r="109" spans="1:6" ht="15">
      <c r="A109">
        <v>1</v>
      </c>
      <c r="B109">
        <v>1</v>
      </c>
      <c r="C109" s="314">
        <f>C$107*$B109</f>
        <v>591.5826893353941</v>
      </c>
      <c r="D109" s="314">
        <f aca="true" t="shared" si="12" ref="D109:F117">D$107*$B109</f>
        <v>350.9057187017001</v>
      </c>
      <c r="E109" s="314">
        <f t="shared" si="12"/>
        <v>337.86089644513135</v>
      </c>
      <c r="F109" s="314">
        <f t="shared" si="12"/>
        <v>302.6398763523956</v>
      </c>
    </row>
    <row r="110" spans="1:6" ht="15">
      <c r="A110">
        <f aca="true" t="shared" si="13" ref="A110:A117">A109+1</f>
        <v>2</v>
      </c>
      <c r="B110">
        <v>1</v>
      </c>
      <c r="C110" s="314">
        <f aca="true" t="shared" si="14" ref="C110:C117">C$107*$B110</f>
        <v>591.5826893353941</v>
      </c>
      <c r="D110" s="314">
        <f t="shared" si="12"/>
        <v>350.9057187017001</v>
      </c>
      <c r="E110" s="314">
        <f t="shared" si="12"/>
        <v>337.86089644513135</v>
      </c>
      <c r="F110" s="314">
        <f t="shared" si="12"/>
        <v>302.6398763523956</v>
      </c>
    </row>
    <row r="111" spans="1:6" ht="15">
      <c r="A111">
        <f t="shared" si="13"/>
        <v>3</v>
      </c>
      <c r="B111">
        <v>1</v>
      </c>
      <c r="C111" s="314">
        <f t="shared" si="14"/>
        <v>591.5826893353941</v>
      </c>
      <c r="D111" s="314">
        <f t="shared" si="12"/>
        <v>350.9057187017001</v>
      </c>
      <c r="E111" s="314">
        <f t="shared" si="12"/>
        <v>337.86089644513135</v>
      </c>
      <c r="F111" s="314">
        <f t="shared" si="12"/>
        <v>302.6398763523956</v>
      </c>
    </row>
    <row r="112" spans="1:6" ht="15">
      <c r="A112">
        <f t="shared" si="13"/>
        <v>4</v>
      </c>
      <c r="B112">
        <v>0.75</v>
      </c>
      <c r="C112" s="314">
        <f t="shared" si="14"/>
        <v>443.68701700154554</v>
      </c>
      <c r="D112" s="314">
        <f t="shared" si="12"/>
        <v>263.17928902627506</v>
      </c>
      <c r="E112" s="314">
        <f t="shared" si="12"/>
        <v>253.3956723338485</v>
      </c>
      <c r="F112" s="314">
        <f t="shared" si="12"/>
        <v>226.9799072642967</v>
      </c>
    </row>
    <row r="113" spans="1:6" ht="15">
      <c r="A113">
        <f t="shared" si="13"/>
        <v>5</v>
      </c>
      <c r="B113">
        <v>0.75</v>
      </c>
      <c r="C113" s="314">
        <f t="shared" si="14"/>
        <v>443.68701700154554</v>
      </c>
      <c r="D113" s="314">
        <f t="shared" si="12"/>
        <v>263.17928902627506</v>
      </c>
      <c r="E113" s="314">
        <f t="shared" si="12"/>
        <v>253.3956723338485</v>
      </c>
      <c r="F113" s="314">
        <f t="shared" si="12"/>
        <v>226.9799072642967</v>
      </c>
    </row>
    <row r="114" spans="1:6" ht="15">
      <c r="A114">
        <f t="shared" si="13"/>
        <v>6</v>
      </c>
      <c r="B114">
        <v>0.75</v>
      </c>
      <c r="C114" s="314">
        <f t="shared" si="14"/>
        <v>443.68701700154554</v>
      </c>
      <c r="D114" s="314">
        <f t="shared" si="12"/>
        <v>263.17928902627506</v>
      </c>
      <c r="E114" s="314">
        <f t="shared" si="12"/>
        <v>253.3956723338485</v>
      </c>
      <c r="F114" s="314">
        <f t="shared" si="12"/>
        <v>226.9799072642967</v>
      </c>
    </row>
    <row r="115" spans="1:6" ht="15">
      <c r="A115">
        <f t="shared" si="13"/>
        <v>7</v>
      </c>
      <c r="B115">
        <v>0.5</v>
      </c>
      <c r="C115" s="314">
        <f t="shared" si="14"/>
        <v>295.79134466769705</v>
      </c>
      <c r="D115" s="314">
        <f t="shared" si="12"/>
        <v>175.45285935085005</v>
      </c>
      <c r="E115" s="314">
        <f t="shared" si="12"/>
        <v>168.93044822256567</v>
      </c>
      <c r="F115" s="314">
        <f t="shared" si="12"/>
        <v>151.3199381761978</v>
      </c>
    </row>
    <row r="116" spans="1:6" ht="15">
      <c r="A116">
        <f t="shared" si="13"/>
        <v>8</v>
      </c>
      <c r="B116">
        <v>0.5</v>
      </c>
      <c r="C116" s="314">
        <f t="shared" si="14"/>
        <v>295.79134466769705</v>
      </c>
      <c r="D116" s="314">
        <f t="shared" si="12"/>
        <v>175.45285935085005</v>
      </c>
      <c r="E116" s="314">
        <f t="shared" si="12"/>
        <v>168.93044822256567</v>
      </c>
      <c r="F116" s="314">
        <f t="shared" si="12"/>
        <v>151.3199381761978</v>
      </c>
    </row>
    <row r="117" spans="1:6" ht="15">
      <c r="A117">
        <f t="shared" si="13"/>
        <v>9</v>
      </c>
      <c r="B117">
        <v>0.5</v>
      </c>
      <c r="C117" s="314">
        <f t="shared" si="14"/>
        <v>295.79134466769705</v>
      </c>
      <c r="D117" s="314">
        <f t="shared" si="12"/>
        <v>175.45285935085005</v>
      </c>
      <c r="E117" s="314">
        <f t="shared" si="12"/>
        <v>168.93044822256567</v>
      </c>
      <c r="F117" s="314">
        <f t="shared" si="12"/>
        <v>151.3199381761978</v>
      </c>
    </row>
    <row r="118" spans="1:6" ht="15">
      <c r="A118"/>
      <c r="B118"/>
      <c r="C118" s="314"/>
      <c r="D118" s="314"/>
      <c r="E118" s="314"/>
      <c r="F118" s="314"/>
    </row>
    <row r="119" spans="1:2" ht="14.25">
      <c r="A119" s="320" t="s">
        <v>705</v>
      </c>
      <c r="B119" s="320">
        <v>141</v>
      </c>
    </row>
    <row r="120" spans="1:2" ht="14.25">
      <c r="A120" s="320" t="s">
        <v>704</v>
      </c>
      <c r="B120" s="320">
        <f>ROUND(B119/30,0)</f>
        <v>5</v>
      </c>
    </row>
    <row r="122" spans="1:6" ht="15">
      <c r="A122" s="554" t="s">
        <v>707</v>
      </c>
      <c r="B122" s="555"/>
      <c r="C122" s="314">
        <f>SUM(C109:C113)</f>
        <v>2662.122102009273</v>
      </c>
      <c r="D122" s="314">
        <f>SUM(D109:D113)</f>
        <v>1579.0757341576502</v>
      </c>
      <c r="E122" s="314">
        <f>SUM(E109:E113)</f>
        <v>1520.374034003091</v>
      </c>
      <c r="F122" s="314">
        <f>SUM(F109:F113)</f>
        <v>1361.8794435857803</v>
      </c>
    </row>
  </sheetData>
  <sheetProtection/>
  <mergeCells count="3">
    <mergeCell ref="A67:B67"/>
    <mergeCell ref="Q67:T67"/>
    <mergeCell ref="A122:B122"/>
  </mergeCells>
  <printOptions/>
  <pageMargins left="0.75" right="0.75" top="0.75" bottom="0.5" header="0.5" footer="0.75"/>
  <pageSetup orientation="portrait" paperSize="9"/>
</worksheet>
</file>

<file path=xl/worksheets/sheet19.xml><?xml version="1.0" encoding="utf-8"?>
<worksheet xmlns="http://schemas.openxmlformats.org/spreadsheetml/2006/main" xmlns:r="http://schemas.openxmlformats.org/officeDocument/2006/relationships">
  <sheetPr>
    <tabColor theme="0" tint="-0.24997000396251678"/>
  </sheetPr>
  <dimension ref="A1:F115"/>
  <sheetViews>
    <sheetView zoomScale="55" zoomScaleNormal="55" zoomScalePageLayoutView="0" workbookViewId="0" topLeftCell="A3">
      <selection activeCell="B93" sqref="B93"/>
    </sheetView>
  </sheetViews>
  <sheetFormatPr defaultColWidth="9.00390625" defaultRowHeight="15.75"/>
  <cols>
    <col min="1" max="1" width="8.75390625" style="320" customWidth="1"/>
    <col min="2" max="2" width="35.375" style="320" customWidth="1"/>
    <col min="3" max="3" width="16.75390625" style="320" customWidth="1"/>
    <col min="4" max="4" width="22.50390625" style="320" customWidth="1"/>
    <col min="5" max="5" width="19.00390625" style="320" customWidth="1"/>
    <col min="6" max="6" width="18.875" style="320" customWidth="1"/>
    <col min="7" max="16384" width="8.75390625" style="320" customWidth="1"/>
  </cols>
  <sheetData>
    <row r="1" spans="2:5" ht="18">
      <c r="B1" s="556" t="s">
        <v>467</v>
      </c>
      <c r="C1" s="556"/>
      <c r="D1" s="556"/>
      <c r="E1" s="556"/>
    </row>
    <row r="3" spans="3:5" ht="14.25">
      <c r="C3" s="321" t="s">
        <v>468</v>
      </c>
      <c r="E3" s="321" t="s">
        <v>469</v>
      </c>
    </row>
    <row r="4" spans="3:6" ht="14.25">
      <c r="C4" s="321" t="s">
        <v>470</v>
      </c>
      <c r="E4" s="321" t="s">
        <v>470</v>
      </c>
      <c r="F4" s="320" t="s">
        <v>425</v>
      </c>
    </row>
    <row r="5" spans="1:6" ht="15">
      <c r="A5" s="320" t="str">
        <f>LEFT(B5,4)</f>
        <v>PAVI</v>
      </c>
      <c r="B5" s="321" t="s">
        <v>163</v>
      </c>
      <c r="C5" s="320">
        <v>647</v>
      </c>
      <c r="D5" s="321" t="s">
        <v>163</v>
      </c>
      <c r="E5" s="320">
        <v>844</v>
      </c>
      <c r="F5" s="375">
        <f>_xlfn.IFERROR((E5-C5)/C5,0)</f>
        <v>0.3044822256568779</v>
      </c>
    </row>
    <row r="6" spans="1:6" ht="15">
      <c r="A6" s="320" t="str">
        <f>LEFT(B6,3)</f>
        <v>(A)</v>
      </c>
      <c r="B6" s="321" t="s">
        <v>164</v>
      </c>
      <c r="C6" s="320">
        <v>623</v>
      </c>
      <c r="D6" s="321" t="s">
        <v>164</v>
      </c>
      <c r="E6" s="320">
        <v>803</v>
      </c>
      <c r="F6" s="375">
        <f aca="true" t="shared" si="0" ref="F6:F69">_xlfn.IFERROR((E6-C6)/C6,0)</f>
        <v>0.28892455858747995</v>
      </c>
    </row>
    <row r="7" spans="1:6" ht="15">
      <c r="A7" s="320" t="str">
        <f aca="true" t="shared" si="1" ref="A7:A70">LEFT(B7,3)</f>
        <v>(01</v>
      </c>
      <c r="B7" s="321" t="s">
        <v>471</v>
      </c>
      <c r="C7" s="320">
        <v>497</v>
      </c>
      <c r="D7" s="321" t="s">
        <v>471</v>
      </c>
      <c r="E7" s="320">
        <v>699</v>
      </c>
      <c r="F7" s="375">
        <f t="shared" si="0"/>
        <v>0.40643863179074446</v>
      </c>
    </row>
    <row r="8" spans="1:6" ht="15">
      <c r="A8" s="320" t="str">
        <f t="shared" si="1"/>
        <v>(02</v>
      </c>
      <c r="B8" s="321" t="s">
        <v>472</v>
      </c>
      <c r="C8" s="320">
        <v>789</v>
      </c>
      <c r="D8" s="321" t="s">
        <v>472</v>
      </c>
      <c r="E8" s="320">
        <v>921</v>
      </c>
      <c r="F8" s="375">
        <f t="shared" si="0"/>
        <v>0.16730038022813687</v>
      </c>
    </row>
    <row r="9" spans="1:6" ht="15">
      <c r="A9" s="320" t="str">
        <f t="shared" si="1"/>
        <v>(03</v>
      </c>
      <c r="B9" s="321" t="s">
        <v>473</v>
      </c>
      <c r="C9" s="320">
        <v>535</v>
      </c>
      <c r="D9" s="321" t="s">
        <v>473</v>
      </c>
      <c r="E9" s="320">
        <v>717</v>
      </c>
      <c r="F9" s="375">
        <f t="shared" si="0"/>
        <v>0.3401869158878505</v>
      </c>
    </row>
    <row r="10" spans="1:6" ht="15">
      <c r="A10" s="320" t="str">
        <f t="shared" si="1"/>
        <v>(B)</v>
      </c>
      <c r="B10" s="321" t="s">
        <v>165</v>
      </c>
      <c r="C10" s="320">
        <v>743</v>
      </c>
      <c r="D10" s="321" t="s">
        <v>165</v>
      </c>
      <c r="E10" s="320">
        <v>992</v>
      </c>
      <c r="F10" s="375">
        <f t="shared" si="0"/>
        <v>0.3351278600269179</v>
      </c>
    </row>
    <row r="11" spans="1:6" ht="15">
      <c r="A11" s="320" t="str">
        <f t="shared" si="1"/>
        <v>(06</v>
      </c>
      <c r="B11" s="321" t="s">
        <v>474</v>
      </c>
      <c r="C11" s="379" t="s">
        <v>373</v>
      </c>
      <c r="D11" s="321" t="s">
        <v>474</v>
      </c>
      <c r="E11" s="379" t="s">
        <v>72</v>
      </c>
      <c r="F11" s="375">
        <f t="shared" si="0"/>
        <v>0</v>
      </c>
    </row>
    <row r="12" spans="1:6" ht="15">
      <c r="A12" s="320" t="str">
        <f t="shared" si="1"/>
        <v>(08</v>
      </c>
      <c r="B12" s="321" t="s">
        <v>475</v>
      </c>
      <c r="C12" s="379" t="s">
        <v>72</v>
      </c>
      <c r="D12" s="321" t="s">
        <v>475</v>
      </c>
      <c r="E12" s="320">
        <v>994</v>
      </c>
      <c r="F12" s="375">
        <f t="shared" si="0"/>
        <v>0</v>
      </c>
    </row>
    <row r="13" spans="1:6" ht="15">
      <c r="A13" s="320" t="str">
        <f t="shared" si="1"/>
        <v>(09</v>
      </c>
      <c r="B13" s="321" t="s">
        <v>476</v>
      </c>
      <c r="C13" s="379" t="s">
        <v>72</v>
      </c>
      <c r="D13" s="321" t="s">
        <v>476</v>
      </c>
      <c r="E13" s="379" t="s">
        <v>72</v>
      </c>
      <c r="F13" s="375">
        <f t="shared" si="0"/>
        <v>0</v>
      </c>
    </row>
    <row r="14" spans="1:6" ht="15">
      <c r="A14" s="320" t="str">
        <f t="shared" si="1"/>
        <v>(C)</v>
      </c>
      <c r="B14" s="321" t="s">
        <v>166</v>
      </c>
      <c r="C14" s="320">
        <v>591</v>
      </c>
      <c r="D14" s="321" t="s">
        <v>166</v>
      </c>
      <c r="E14" s="320">
        <v>793</v>
      </c>
      <c r="F14" s="375">
        <f t="shared" si="0"/>
        <v>0.34179357021996615</v>
      </c>
    </row>
    <row r="15" spans="1:6" ht="15">
      <c r="A15" s="320" t="str">
        <f t="shared" si="1"/>
        <v>(10</v>
      </c>
      <c r="B15" s="321" t="s">
        <v>477</v>
      </c>
      <c r="C15" s="320">
        <v>504</v>
      </c>
      <c r="D15" s="321" t="s">
        <v>477</v>
      </c>
      <c r="E15" s="320">
        <v>719</v>
      </c>
      <c r="F15" s="375">
        <f t="shared" si="0"/>
        <v>0.42658730158730157</v>
      </c>
    </row>
    <row r="16" spans="1:6" ht="15">
      <c r="A16" s="320" t="str">
        <f t="shared" si="1"/>
        <v>(10</v>
      </c>
      <c r="B16" s="321" t="s">
        <v>478</v>
      </c>
      <c r="C16" s="320">
        <v>461</v>
      </c>
      <c r="D16" s="321" t="s">
        <v>478</v>
      </c>
      <c r="E16" s="320">
        <v>657</v>
      </c>
      <c r="F16" s="375">
        <f t="shared" si="0"/>
        <v>0.42516268980477223</v>
      </c>
    </row>
    <row r="17" spans="1:6" ht="15">
      <c r="A17" s="320" t="str">
        <f t="shared" si="1"/>
        <v>(10</v>
      </c>
      <c r="B17" s="321" t="s">
        <v>479</v>
      </c>
      <c r="C17" s="320">
        <v>388</v>
      </c>
      <c r="D17" s="321" t="s">
        <v>479</v>
      </c>
      <c r="E17" s="320">
        <v>507</v>
      </c>
      <c r="F17" s="375">
        <f t="shared" si="0"/>
        <v>0.30670103092783507</v>
      </c>
    </row>
    <row r="18" spans="1:6" ht="15">
      <c r="A18" s="320" t="str">
        <f t="shared" si="1"/>
        <v>(10</v>
      </c>
      <c r="B18" s="321" t="s">
        <v>480</v>
      </c>
      <c r="C18" s="320">
        <v>655</v>
      </c>
      <c r="D18" s="321" t="s">
        <v>480</v>
      </c>
      <c r="E18" s="320">
        <v>791</v>
      </c>
      <c r="F18" s="375">
        <f t="shared" si="0"/>
        <v>0.20763358778625954</v>
      </c>
    </row>
    <row r="19" spans="1:6" ht="15">
      <c r="A19" s="320" t="str">
        <f t="shared" si="1"/>
        <v>(10</v>
      </c>
      <c r="B19" s="321" t="s">
        <v>481</v>
      </c>
      <c r="C19" s="320">
        <v>669</v>
      </c>
      <c r="D19" s="321" t="s">
        <v>481</v>
      </c>
      <c r="E19" s="320">
        <v>676</v>
      </c>
      <c r="F19" s="375">
        <f t="shared" si="0"/>
        <v>0.01046337817638266</v>
      </c>
    </row>
    <row r="20" spans="1:6" ht="15">
      <c r="A20" s="320" t="str">
        <f t="shared" si="1"/>
        <v>(10</v>
      </c>
      <c r="B20" s="321" t="s">
        <v>482</v>
      </c>
      <c r="C20" s="320">
        <v>637</v>
      </c>
      <c r="D20" s="321" t="s">
        <v>482</v>
      </c>
      <c r="E20" s="320">
        <v>922</v>
      </c>
      <c r="F20" s="375">
        <f t="shared" si="0"/>
        <v>0.4474097331240188</v>
      </c>
    </row>
    <row r="21" spans="1:6" ht="15">
      <c r="A21" s="320" t="str">
        <f t="shared" si="1"/>
        <v>(10</v>
      </c>
      <c r="B21" s="321" t="s">
        <v>483</v>
      </c>
      <c r="C21" s="320">
        <v>837</v>
      </c>
      <c r="D21" s="321" t="s">
        <v>483</v>
      </c>
      <c r="E21" s="320">
        <v>1188</v>
      </c>
      <c r="F21" s="375">
        <f t="shared" si="0"/>
        <v>0.41935483870967744</v>
      </c>
    </row>
    <row r="22" spans="1:6" ht="15">
      <c r="A22" s="320" t="str">
        <f t="shared" si="1"/>
        <v>(10</v>
      </c>
      <c r="B22" s="321" t="s">
        <v>484</v>
      </c>
      <c r="C22" s="320">
        <v>469</v>
      </c>
      <c r="D22" s="321" t="s">
        <v>484</v>
      </c>
      <c r="E22" s="320">
        <v>627</v>
      </c>
      <c r="F22" s="375">
        <f t="shared" si="0"/>
        <v>0.3368869936034115</v>
      </c>
    </row>
    <row r="23" spans="1:6" ht="15">
      <c r="A23" s="320" t="str">
        <f t="shared" si="1"/>
        <v>(10</v>
      </c>
      <c r="B23" s="321" t="s">
        <v>485</v>
      </c>
      <c r="C23" s="320">
        <v>623</v>
      </c>
      <c r="D23" s="321" t="s">
        <v>485</v>
      </c>
      <c r="E23" s="320">
        <v>922</v>
      </c>
      <c r="F23" s="375">
        <f t="shared" si="0"/>
        <v>0.4799357945425361</v>
      </c>
    </row>
    <row r="24" spans="1:6" ht="15">
      <c r="A24" s="320" t="str">
        <f t="shared" si="1"/>
        <v>(11</v>
      </c>
      <c r="B24" s="321" t="s">
        <v>486</v>
      </c>
      <c r="C24" s="320">
        <v>883</v>
      </c>
      <c r="D24" s="321" t="s">
        <v>486</v>
      </c>
      <c r="E24" s="320">
        <v>941</v>
      </c>
      <c r="F24" s="375">
        <f t="shared" si="0"/>
        <v>0.06568516421291053</v>
      </c>
    </row>
    <row r="25" spans="1:6" ht="15">
      <c r="A25" s="320" t="str">
        <f t="shared" si="1"/>
        <v>(12</v>
      </c>
      <c r="B25" s="321" t="s">
        <v>487</v>
      </c>
      <c r="C25" s="379" t="s">
        <v>72</v>
      </c>
      <c r="D25" s="321" t="s">
        <v>487</v>
      </c>
      <c r="E25" s="379" t="s">
        <v>72</v>
      </c>
      <c r="F25" s="375">
        <f t="shared" si="0"/>
        <v>0</v>
      </c>
    </row>
    <row r="26" spans="1:6" ht="15">
      <c r="A26" s="320" t="str">
        <f t="shared" si="1"/>
        <v>(13</v>
      </c>
      <c r="B26" s="321" t="s">
        <v>488</v>
      </c>
      <c r="C26" s="320">
        <v>491</v>
      </c>
      <c r="D26" s="321" t="s">
        <v>488</v>
      </c>
      <c r="E26" s="320">
        <v>600</v>
      </c>
      <c r="F26" s="375">
        <f t="shared" si="0"/>
        <v>0.2219959266802444</v>
      </c>
    </row>
    <row r="27" spans="1:6" ht="15">
      <c r="A27" s="320" t="str">
        <f t="shared" si="1"/>
        <v>(14</v>
      </c>
      <c r="B27" s="321" t="s">
        <v>489</v>
      </c>
      <c r="C27" s="320">
        <v>409</v>
      </c>
      <c r="D27" s="321" t="s">
        <v>489</v>
      </c>
      <c r="E27" s="320">
        <v>518</v>
      </c>
      <c r="F27" s="375">
        <f t="shared" si="0"/>
        <v>0.2665036674816626</v>
      </c>
    </row>
    <row r="28" spans="1:6" ht="15">
      <c r="A28" s="320" t="str">
        <f t="shared" si="1"/>
        <v>(15</v>
      </c>
      <c r="B28" s="321" t="s">
        <v>490</v>
      </c>
      <c r="C28" s="320">
        <v>346</v>
      </c>
      <c r="D28" s="321" t="s">
        <v>490</v>
      </c>
      <c r="E28" s="320">
        <v>493</v>
      </c>
      <c r="F28" s="375">
        <f t="shared" si="0"/>
        <v>0.42485549132947975</v>
      </c>
    </row>
    <row r="29" spans="1:6" ht="15">
      <c r="A29" s="320" t="str">
        <f t="shared" si="1"/>
        <v>(16</v>
      </c>
      <c r="B29" s="321" t="s">
        <v>491</v>
      </c>
      <c r="C29" s="320">
        <v>547</v>
      </c>
      <c r="D29" s="321" t="s">
        <v>491</v>
      </c>
      <c r="E29" s="320">
        <v>765</v>
      </c>
      <c r="F29" s="375">
        <f t="shared" si="0"/>
        <v>0.39853747714808047</v>
      </c>
    </row>
    <row r="30" spans="1:6" ht="15">
      <c r="A30" s="320" t="str">
        <f t="shared" si="1"/>
        <v>(17</v>
      </c>
      <c r="B30" s="321" t="s">
        <v>492</v>
      </c>
      <c r="C30" s="320">
        <v>714</v>
      </c>
      <c r="D30" s="321" t="s">
        <v>492</v>
      </c>
      <c r="E30" s="320">
        <v>890</v>
      </c>
      <c r="F30" s="375">
        <f t="shared" si="0"/>
        <v>0.24649859943977592</v>
      </c>
    </row>
    <row r="31" spans="1:6" ht="15">
      <c r="A31" s="320" t="str">
        <f t="shared" si="1"/>
        <v>(18</v>
      </c>
      <c r="B31" s="321" t="s">
        <v>493</v>
      </c>
      <c r="C31" s="320">
        <v>605</v>
      </c>
      <c r="D31" s="321" t="s">
        <v>493</v>
      </c>
      <c r="E31" s="320">
        <v>865</v>
      </c>
      <c r="F31" s="375">
        <f t="shared" si="0"/>
        <v>0.4297520661157025</v>
      </c>
    </row>
    <row r="32" spans="1:6" ht="15">
      <c r="A32" s="320" t="str">
        <f t="shared" si="1"/>
        <v>(19</v>
      </c>
      <c r="B32" s="321" t="s">
        <v>494</v>
      </c>
      <c r="C32" s="379" t="s">
        <v>72</v>
      </c>
      <c r="D32" s="321" t="s">
        <v>494</v>
      </c>
      <c r="E32" s="379" t="s">
        <v>72</v>
      </c>
      <c r="F32" s="375">
        <f t="shared" si="0"/>
        <v>0</v>
      </c>
    </row>
    <row r="33" spans="1:6" ht="15">
      <c r="A33" s="320" t="str">
        <f t="shared" si="1"/>
        <v>(20</v>
      </c>
      <c r="B33" s="321" t="s">
        <v>495</v>
      </c>
      <c r="C33" s="320">
        <v>661</v>
      </c>
      <c r="D33" s="321" t="s">
        <v>495</v>
      </c>
      <c r="E33" s="320">
        <v>795</v>
      </c>
      <c r="F33" s="375">
        <f t="shared" si="0"/>
        <v>0.2027231467473525</v>
      </c>
    </row>
    <row r="34" spans="1:6" ht="15">
      <c r="A34" s="320" t="str">
        <f t="shared" si="1"/>
        <v>(21</v>
      </c>
      <c r="B34" s="321" t="s">
        <v>496</v>
      </c>
      <c r="C34" s="320">
        <v>961</v>
      </c>
      <c r="D34" s="321" t="s">
        <v>496</v>
      </c>
      <c r="E34" s="320">
        <v>1184</v>
      </c>
      <c r="F34" s="375">
        <f t="shared" si="0"/>
        <v>0.23204994797086367</v>
      </c>
    </row>
    <row r="35" spans="1:6" ht="15">
      <c r="A35" s="320" t="str">
        <f t="shared" si="1"/>
        <v>(22</v>
      </c>
      <c r="B35" s="321" t="s">
        <v>497</v>
      </c>
      <c r="C35" s="320">
        <v>565</v>
      </c>
      <c r="D35" s="321" t="s">
        <v>497</v>
      </c>
      <c r="E35" s="320">
        <v>788</v>
      </c>
      <c r="F35" s="375">
        <f t="shared" si="0"/>
        <v>0.39469026548672564</v>
      </c>
    </row>
    <row r="36" spans="1:6" ht="15">
      <c r="A36" s="320" t="str">
        <f t="shared" si="1"/>
        <v>(23</v>
      </c>
      <c r="B36" s="321" t="s">
        <v>498</v>
      </c>
      <c r="C36" s="320">
        <v>783</v>
      </c>
      <c r="D36" s="321" t="s">
        <v>498</v>
      </c>
      <c r="E36" s="320">
        <v>1095</v>
      </c>
      <c r="F36" s="375">
        <f t="shared" si="0"/>
        <v>0.39846743295019155</v>
      </c>
    </row>
    <row r="37" spans="1:6" ht="15">
      <c r="A37" s="320" t="str">
        <f t="shared" si="1"/>
        <v>(24</v>
      </c>
      <c r="B37" s="321" t="s">
        <v>499</v>
      </c>
      <c r="C37" s="320">
        <v>725</v>
      </c>
      <c r="D37" s="321" t="s">
        <v>499</v>
      </c>
      <c r="E37" s="320">
        <v>735</v>
      </c>
      <c r="F37" s="375">
        <f t="shared" si="0"/>
        <v>0.013793103448275862</v>
      </c>
    </row>
    <row r="38" spans="1:6" ht="15">
      <c r="A38" s="320" t="str">
        <f t="shared" si="1"/>
        <v>(25</v>
      </c>
      <c r="B38" s="321" t="s">
        <v>500</v>
      </c>
      <c r="C38" s="320">
        <v>615</v>
      </c>
      <c r="D38" s="321" t="s">
        <v>500</v>
      </c>
      <c r="E38" s="320">
        <v>866</v>
      </c>
      <c r="F38" s="375">
        <f t="shared" si="0"/>
        <v>0.408130081300813</v>
      </c>
    </row>
    <row r="39" spans="1:6" ht="15">
      <c r="A39" s="320" t="str">
        <f t="shared" si="1"/>
        <v>(26</v>
      </c>
      <c r="B39" s="321" t="s">
        <v>501</v>
      </c>
      <c r="C39" s="320">
        <v>854</v>
      </c>
      <c r="D39" s="321" t="s">
        <v>501</v>
      </c>
      <c r="E39" s="320">
        <v>1097</v>
      </c>
      <c r="F39" s="375">
        <f t="shared" si="0"/>
        <v>0.28454332552693207</v>
      </c>
    </row>
    <row r="40" spans="1:6" ht="15">
      <c r="A40" s="320" t="str">
        <f t="shared" si="1"/>
        <v>(27</v>
      </c>
      <c r="B40" s="321" t="s">
        <v>502</v>
      </c>
      <c r="C40" s="320">
        <v>805</v>
      </c>
      <c r="D40" s="321" t="s">
        <v>502</v>
      </c>
      <c r="E40" s="320">
        <v>945</v>
      </c>
      <c r="F40" s="375">
        <f t="shared" si="0"/>
        <v>0.17391304347826086</v>
      </c>
    </row>
    <row r="41" spans="1:6" ht="15">
      <c r="A41" s="320" t="str">
        <f t="shared" si="1"/>
        <v>(28</v>
      </c>
      <c r="B41" s="321" t="s">
        <v>503</v>
      </c>
      <c r="C41" s="320">
        <v>708</v>
      </c>
      <c r="D41" s="321" t="s">
        <v>503</v>
      </c>
      <c r="E41" s="320">
        <v>913</v>
      </c>
      <c r="F41" s="375">
        <f t="shared" si="0"/>
        <v>0.2895480225988701</v>
      </c>
    </row>
    <row r="42" spans="1:6" ht="15">
      <c r="A42" s="320" t="str">
        <f t="shared" si="1"/>
        <v>(29</v>
      </c>
      <c r="B42" s="321" t="s">
        <v>504</v>
      </c>
      <c r="C42" s="320">
        <v>944</v>
      </c>
      <c r="D42" s="321" t="s">
        <v>504</v>
      </c>
      <c r="E42" s="320">
        <v>1019</v>
      </c>
      <c r="F42" s="375">
        <f t="shared" si="0"/>
        <v>0.07944915254237288</v>
      </c>
    </row>
    <row r="43" spans="1:6" ht="15">
      <c r="A43" s="320" t="str">
        <f t="shared" si="1"/>
        <v>(30</v>
      </c>
      <c r="B43" s="321" t="s">
        <v>505</v>
      </c>
      <c r="C43" s="320">
        <v>658</v>
      </c>
      <c r="D43" s="321" t="s">
        <v>505</v>
      </c>
      <c r="E43" s="320">
        <v>825</v>
      </c>
      <c r="F43" s="375">
        <f t="shared" si="0"/>
        <v>0.25379939209726443</v>
      </c>
    </row>
    <row r="44" spans="1:6" ht="15">
      <c r="A44" s="320" t="str">
        <f t="shared" si="1"/>
        <v>(31</v>
      </c>
      <c r="B44" s="321" t="s">
        <v>506</v>
      </c>
      <c r="C44" s="320">
        <v>449</v>
      </c>
      <c r="D44" s="321" t="s">
        <v>506</v>
      </c>
      <c r="E44" s="320">
        <v>635</v>
      </c>
      <c r="F44" s="375">
        <f t="shared" si="0"/>
        <v>0.4142538975501114</v>
      </c>
    </row>
    <row r="45" spans="1:6" ht="15">
      <c r="A45" s="320" t="str">
        <f t="shared" si="1"/>
        <v>(32</v>
      </c>
      <c r="B45" s="321" t="s">
        <v>507</v>
      </c>
      <c r="C45" s="320">
        <v>479</v>
      </c>
      <c r="D45" s="321" t="s">
        <v>507</v>
      </c>
      <c r="E45" s="320">
        <v>696</v>
      </c>
      <c r="F45" s="375">
        <f t="shared" si="0"/>
        <v>0.453027139874739</v>
      </c>
    </row>
    <row r="46" spans="1:6" ht="15">
      <c r="A46" s="320" t="str">
        <f t="shared" si="1"/>
        <v>(33</v>
      </c>
      <c r="B46" s="321" t="s">
        <v>508</v>
      </c>
      <c r="C46" s="320">
        <v>756</v>
      </c>
      <c r="D46" s="321" t="s">
        <v>508</v>
      </c>
      <c r="E46" s="320">
        <v>853</v>
      </c>
      <c r="F46" s="375">
        <f t="shared" si="0"/>
        <v>0.1283068783068783</v>
      </c>
    </row>
    <row r="47" spans="1:6" ht="15">
      <c r="A47" s="320" t="str">
        <f t="shared" si="1"/>
        <v>(D)</v>
      </c>
      <c r="B47" s="321" t="s">
        <v>167</v>
      </c>
      <c r="C47" s="320">
        <v>916</v>
      </c>
      <c r="D47" s="321" t="s">
        <v>167</v>
      </c>
      <c r="E47" s="320">
        <v>1084</v>
      </c>
      <c r="F47" s="375">
        <f t="shared" si="0"/>
        <v>0.18340611353711792</v>
      </c>
    </row>
    <row r="48" spans="1:6" ht="15">
      <c r="A48" s="320" t="str">
        <f t="shared" si="1"/>
        <v>(35</v>
      </c>
      <c r="B48" s="321" t="s">
        <v>509</v>
      </c>
      <c r="C48" s="320">
        <v>916</v>
      </c>
      <c r="D48" s="321" t="s">
        <v>509</v>
      </c>
      <c r="E48" s="320">
        <v>1084</v>
      </c>
      <c r="F48" s="375">
        <f t="shared" si="0"/>
        <v>0.18340611353711792</v>
      </c>
    </row>
    <row r="49" spans="1:6" ht="15">
      <c r="A49" s="320" t="str">
        <f t="shared" si="1"/>
        <v>(E)</v>
      </c>
      <c r="B49" s="321" t="s">
        <v>168</v>
      </c>
      <c r="C49" s="320">
        <v>677</v>
      </c>
      <c r="D49" s="321" t="s">
        <v>168</v>
      </c>
      <c r="E49" s="320">
        <v>815</v>
      </c>
      <c r="F49" s="375">
        <f t="shared" si="0"/>
        <v>0.2038404726735598</v>
      </c>
    </row>
    <row r="50" spans="1:6" ht="15">
      <c r="A50" s="320" t="str">
        <f t="shared" si="1"/>
        <v>(36</v>
      </c>
      <c r="B50" s="321" t="s">
        <v>510</v>
      </c>
      <c r="C50" s="320">
        <v>828</v>
      </c>
      <c r="D50" s="321" t="s">
        <v>510</v>
      </c>
      <c r="E50" s="320">
        <v>942</v>
      </c>
      <c r="F50" s="375">
        <f t="shared" si="0"/>
        <v>0.13768115942028986</v>
      </c>
    </row>
    <row r="51" spans="1:6" ht="15">
      <c r="A51" s="320" t="str">
        <f t="shared" si="1"/>
        <v>(37</v>
      </c>
      <c r="B51" s="321" t="s">
        <v>511</v>
      </c>
      <c r="C51" s="320">
        <v>591</v>
      </c>
      <c r="D51" s="321" t="s">
        <v>511</v>
      </c>
      <c r="E51" s="320">
        <v>792</v>
      </c>
      <c r="F51" s="375">
        <f t="shared" si="0"/>
        <v>0.3401015228426396</v>
      </c>
    </row>
    <row r="52" spans="1:6" ht="15">
      <c r="A52" s="320" t="str">
        <f t="shared" si="1"/>
        <v>(38</v>
      </c>
      <c r="B52" s="321" t="s">
        <v>512</v>
      </c>
      <c r="C52" s="320">
        <v>640</v>
      </c>
      <c r="D52" s="321" t="s">
        <v>512</v>
      </c>
      <c r="E52" s="320">
        <v>767</v>
      </c>
      <c r="F52" s="375">
        <f t="shared" si="0"/>
        <v>0.1984375</v>
      </c>
    </row>
    <row r="53" spans="1:6" ht="15">
      <c r="A53" s="320" t="str">
        <f t="shared" si="1"/>
        <v>(39</v>
      </c>
      <c r="B53" s="321" t="s">
        <v>513</v>
      </c>
      <c r="C53" s="320">
        <v>556</v>
      </c>
      <c r="D53" s="321" t="s">
        <v>513</v>
      </c>
      <c r="E53" s="320">
        <v>890</v>
      </c>
      <c r="F53" s="375">
        <f t="shared" si="0"/>
        <v>0.6007194244604317</v>
      </c>
    </row>
    <row r="54" spans="1:6" ht="15">
      <c r="A54" s="320" t="str">
        <f t="shared" si="1"/>
        <v>(F)</v>
      </c>
      <c r="B54" s="321" t="s">
        <v>169</v>
      </c>
      <c r="C54" s="320">
        <v>600</v>
      </c>
      <c r="D54" s="321" t="s">
        <v>169</v>
      </c>
      <c r="E54" s="320">
        <v>822</v>
      </c>
      <c r="F54" s="375">
        <f t="shared" si="0"/>
        <v>0.37</v>
      </c>
    </row>
    <row r="55" spans="1:6" ht="15">
      <c r="A55" s="320" t="str">
        <f t="shared" si="1"/>
        <v>(41</v>
      </c>
      <c r="B55" s="321" t="s">
        <v>514</v>
      </c>
      <c r="C55" s="320">
        <v>582</v>
      </c>
      <c r="D55" s="321" t="s">
        <v>514</v>
      </c>
      <c r="E55" s="320">
        <v>805</v>
      </c>
      <c r="F55" s="375">
        <f t="shared" si="0"/>
        <v>0.38316151202749144</v>
      </c>
    </row>
    <row r="56" spans="1:6" ht="15">
      <c r="A56" s="320" t="str">
        <f t="shared" si="1"/>
        <v>(42</v>
      </c>
      <c r="B56" s="321" t="s">
        <v>515</v>
      </c>
      <c r="C56" s="320">
        <v>755</v>
      </c>
      <c r="D56" s="321" t="s">
        <v>515</v>
      </c>
      <c r="E56" s="320">
        <v>1016</v>
      </c>
      <c r="F56" s="375">
        <f t="shared" si="0"/>
        <v>0.3456953642384106</v>
      </c>
    </row>
    <row r="57" spans="1:6" ht="15">
      <c r="A57" s="320" t="str">
        <f t="shared" si="1"/>
        <v>(43</v>
      </c>
      <c r="B57" s="321" t="s">
        <v>516</v>
      </c>
      <c r="C57" s="320">
        <v>497</v>
      </c>
      <c r="D57" s="321" t="s">
        <v>516</v>
      </c>
      <c r="E57" s="320">
        <v>717</v>
      </c>
      <c r="F57" s="375">
        <f t="shared" si="0"/>
        <v>0.4426559356136821</v>
      </c>
    </row>
    <row r="58" spans="1:6" ht="15">
      <c r="A58" s="320" t="str">
        <f t="shared" si="1"/>
        <v>(G)</v>
      </c>
      <c r="B58" s="321" t="s">
        <v>170</v>
      </c>
      <c r="C58" s="320">
        <v>532</v>
      </c>
      <c r="D58" s="321" t="s">
        <v>170</v>
      </c>
      <c r="E58" s="320">
        <v>750</v>
      </c>
      <c r="F58" s="375">
        <f t="shared" si="0"/>
        <v>0.40977443609022557</v>
      </c>
    </row>
    <row r="59" spans="1:6" ht="15">
      <c r="A59" s="320" t="str">
        <f t="shared" si="1"/>
        <v>(45</v>
      </c>
      <c r="B59" s="321" t="s">
        <v>517</v>
      </c>
      <c r="C59" s="320">
        <v>513</v>
      </c>
      <c r="D59" s="321" t="s">
        <v>517</v>
      </c>
      <c r="E59" s="320">
        <v>781</v>
      </c>
      <c r="F59" s="375">
        <f t="shared" si="0"/>
        <v>0.5224171539961013</v>
      </c>
    </row>
    <row r="60" spans="1:6" ht="15">
      <c r="A60" s="320" t="str">
        <f t="shared" si="1"/>
        <v>(46</v>
      </c>
      <c r="B60" s="321" t="s">
        <v>518</v>
      </c>
      <c r="C60" s="320">
        <v>742</v>
      </c>
      <c r="D60" s="321" t="s">
        <v>518</v>
      </c>
      <c r="E60" s="320">
        <v>1036</v>
      </c>
      <c r="F60" s="375">
        <f t="shared" si="0"/>
        <v>0.39622641509433965</v>
      </c>
    </row>
    <row r="61" spans="1:6" ht="15">
      <c r="A61" s="320" t="str">
        <f t="shared" si="1"/>
        <v>(47</v>
      </c>
      <c r="B61" s="321" t="s">
        <v>519</v>
      </c>
      <c r="C61" s="320">
        <v>435</v>
      </c>
      <c r="D61" s="321" t="s">
        <v>519</v>
      </c>
      <c r="E61" s="320">
        <v>601</v>
      </c>
      <c r="F61" s="375">
        <f t="shared" si="0"/>
        <v>0.3816091954022989</v>
      </c>
    </row>
    <row r="62" spans="1:6" ht="15">
      <c r="A62" s="320" t="str">
        <f t="shared" si="1"/>
        <v>(H)</v>
      </c>
      <c r="B62" s="321" t="s">
        <v>171</v>
      </c>
      <c r="C62" s="320">
        <v>717</v>
      </c>
      <c r="D62" s="321" t="s">
        <v>171</v>
      </c>
      <c r="E62" s="320">
        <v>909</v>
      </c>
      <c r="F62" s="375">
        <f t="shared" si="0"/>
        <v>0.26778242677824265</v>
      </c>
    </row>
    <row r="63" spans="1:6" ht="15">
      <c r="A63" s="320" t="str">
        <f t="shared" si="1"/>
        <v>(49</v>
      </c>
      <c r="B63" s="321" t="s">
        <v>520</v>
      </c>
      <c r="C63" s="320">
        <v>555</v>
      </c>
      <c r="D63" s="321" t="s">
        <v>520</v>
      </c>
      <c r="E63" s="320">
        <v>738</v>
      </c>
      <c r="F63" s="375">
        <f t="shared" si="0"/>
        <v>0.32972972972972975</v>
      </c>
    </row>
    <row r="64" spans="1:6" ht="15">
      <c r="A64" s="320" t="str">
        <f t="shared" si="1"/>
        <v>(50</v>
      </c>
      <c r="B64" s="321" t="s">
        <v>521</v>
      </c>
      <c r="C64" s="320">
        <v>1129</v>
      </c>
      <c r="D64" s="321" t="s">
        <v>521</v>
      </c>
      <c r="E64" s="320">
        <v>1698</v>
      </c>
      <c r="F64" s="375">
        <f t="shared" si="0"/>
        <v>0.503985828166519</v>
      </c>
    </row>
    <row r="65" spans="1:6" ht="15">
      <c r="A65" s="320" t="str">
        <f t="shared" si="1"/>
        <v>(51</v>
      </c>
      <c r="B65" s="321" t="s">
        <v>522</v>
      </c>
      <c r="C65" s="320">
        <v>1779</v>
      </c>
      <c r="D65" s="321" t="s">
        <v>522</v>
      </c>
      <c r="E65" s="320">
        <v>2090</v>
      </c>
      <c r="F65" s="375">
        <f t="shared" si="0"/>
        <v>0.17481731309724563</v>
      </c>
    </row>
    <row r="66" spans="1:6" ht="15">
      <c r="A66" s="320" t="str">
        <f t="shared" si="1"/>
        <v>(52</v>
      </c>
      <c r="B66" s="321" t="s">
        <v>523</v>
      </c>
      <c r="C66" s="320">
        <v>898</v>
      </c>
      <c r="D66" s="321" t="s">
        <v>523</v>
      </c>
      <c r="E66" s="320">
        <v>1127</v>
      </c>
      <c r="F66" s="375">
        <f t="shared" si="0"/>
        <v>0.25501113585746105</v>
      </c>
    </row>
    <row r="67" spans="1:6" ht="15">
      <c r="A67" s="320" t="str">
        <f t="shared" si="1"/>
        <v>(53</v>
      </c>
      <c r="B67" s="321" t="s">
        <v>524</v>
      </c>
      <c r="C67" s="320">
        <v>446</v>
      </c>
      <c r="D67" s="321" t="s">
        <v>524</v>
      </c>
      <c r="E67" s="320">
        <v>583</v>
      </c>
      <c r="F67" s="375">
        <f t="shared" si="0"/>
        <v>0.3071748878923767</v>
      </c>
    </row>
    <row r="68" spans="1:6" ht="15">
      <c r="A68" s="320" t="str">
        <f t="shared" si="1"/>
        <v>(I)</v>
      </c>
      <c r="B68" s="321" t="s">
        <v>172</v>
      </c>
      <c r="C68" s="320">
        <v>408</v>
      </c>
      <c r="D68" s="321" t="s">
        <v>172</v>
      </c>
      <c r="E68" s="320">
        <v>551</v>
      </c>
      <c r="F68" s="375">
        <f t="shared" si="0"/>
        <v>0.35049019607843135</v>
      </c>
    </row>
    <row r="69" spans="1:6" ht="15">
      <c r="A69" s="320" t="str">
        <f t="shared" si="1"/>
        <v>(55</v>
      </c>
      <c r="B69" s="321" t="s">
        <v>525</v>
      </c>
      <c r="C69" s="320">
        <v>558</v>
      </c>
      <c r="D69" s="321" t="s">
        <v>525</v>
      </c>
      <c r="E69" s="320">
        <v>698</v>
      </c>
      <c r="F69" s="375">
        <f t="shared" si="0"/>
        <v>0.25089605734767023</v>
      </c>
    </row>
    <row r="70" spans="1:6" ht="15">
      <c r="A70" s="320" t="str">
        <f t="shared" si="1"/>
        <v>(56</v>
      </c>
      <c r="B70" s="321" t="s">
        <v>526</v>
      </c>
      <c r="C70" s="320">
        <v>369</v>
      </c>
      <c r="D70" s="321" t="s">
        <v>526</v>
      </c>
      <c r="E70" s="320">
        <v>516</v>
      </c>
      <c r="F70" s="375">
        <f aca="true" t="shared" si="2" ref="F70:F115">_xlfn.IFERROR((E70-C70)/C70,0)</f>
        <v>0.3983739837398374</v>
      </c>
    </row>
    <row r="71" spans="1:6" ht="15">
      <c r="A71" s="320" t="str">
        <f aca="true" t="shared" si="3" ref="A71:A115">LEFT(B71,3)</f>
        <v>(J)</v>
      </c>
      <c r="B71" s="321" t="s">
        <v>173</v>
      </c>
      <c r="C71" s="320">
        <v>1143</v>
      </c>
      <c r="D71" s="321" t="s">
        <v>173</v>
      </c>
      <c r="E71" s="320">
        <v>1371</v>
      </c>
      <c r="F71" s="375">
        <f t="shared" si="2"/>
        <v>0.1994750656167979</v>
      </c>
    </row>
    <row r="72" spans="1:6" ht="15">
      <c r="A72" s="320" t="str">
        <f t="shared" si="3"/>
        <v>(58</v>
      </c>
      <c r="B72" s="321" t="s">
        <v>527</v>
      </c>
      <c r="C72" s="320">
        <v>732</v>
      </c>
      <c r="D72" s="321" t="s">
        <v>527</v>
      </c>
      <c r="E72" s="320">
        <v>867</v>
      </c>
      <c r="F72" s="375">
        <f t="shared" si="2"/>
        <v>0.18442622950819673</v>
      </c>
    </row>
    <row r="73" spans="1:6" ht="15">
      <c r="A73" s="320" t="str">
        <f t="shared" si="3"/>
        <v>(59</v>
      </c>
      <c r="B73" s="321" t="s">
        <v>528</v>
      </c>
      <c r="C73" s="320">
        <v>494</v>
      </c>
      <c r="D73" s="321" t="s">
        <v>528</v>
      </c>
      <c r="E73" s="320">
        <v>693</v>
      </c>
      <c r="F73" s="375">
        <f t="shared" si="2"/>
        <v>0.402834008097166</v>
      </c>
    </row>
    <row r="74" spans="1:6" ht="15">
      <c r="A74" s="320" t="str">
        <f t="shared" si="3"/>
        <v>(60</v>
      </c>
      <c r="B74" s="321" t="s">
        <v>529</v>
      </c>
      <c r="C74" s="320">
        <v>906</v>
      </c>
      <c r="D74" s="321" t="s">
        <v>529</v>
      </c>
      <c r="E74" s="320">
        <v>1270</v>
      </c>
      <c r="F74" s="375">
        <f t="shared" si="2"/>
        <v>0.40176600441501104</v>
      </c>
    </row>
    <row r="75" spans="1:6" ht="15">
      <c r="A75" s="320" t="str">
        <f t="shared" si="3"/>
        <v>(61</v>
      </c>
      <c r="B75" s="321" t="s">
        <v>530</v>
      </c>
      <c r="C75" s="320">
        <v>1333</v>
      </c>
      <c r="D75" s="321" t="s">
        <v>530</v>
      </c>
      <c r="E75" s="320">
        <v>1470</v>
      </c>
      <c r="F75" s="375">
        <f t="shared" si="2"/>
        <v>0.10277569392348088</v>
      </c>
    </row>
    <row r="76" spans="1:6" ht="15">
      <c r="A76" s="320" t="str">
        <f t="shared" si="3"/>
        <v>(62</v>
      </c>
      <c r="B76" s="321" t="s">
        <v>531</v>
      </c>
      <c r="C76" s="320">
        <v>1306</v>
      </c>
      <c r="D76" s="321" t="s">
        <v>531</v>
      </c>
      <c r="E76" s="320">
        <v>1525</v>
      </c>
      <c r="F76" s="375">
        <f t="shared" si="2"/>
        <v>0.16768759571209801</v>
      </c>
    </row>
    <row r="77" spans="1:6" ht="15">
      <c r="A77" s="320" t="str">
        <f t="shared" si="3"/>
        <v>(63</v>
      </c>
      <c r="B77" s="321" t="s">
        <v>532</v>
      </c>
      <c r="C77" s="320">
        <v>1202</v>
      </c>
      <c r="D77" s="321" t="s">
        <v>532</v>
      </c>
      <c r="E77" s="320">
        <v>1264</v>
      </c>
      <c r="F77" s="375">
        <f t="shared" si="2"/>
        <v>0.051580698835274545</v>
      </c>
    </row>
    <row r="78" spans="1:6" ht="15">
      <c r="A78" s="320" t="str">
        <f t="shared" si="3"/>
        <v>(K)</v>
      </c>
      <c r="B78" s="321" t="s">
        <v>174</v>
      </c>
      <c r="C78" s="320">
        <v>1308</v>
      </c>
      <c r="D78" s="321" t="s">
        <v>174</v>
      </c>
      <c r="E78" s="320">
        <v>1750</v>
      </c>
      <c r="F78" s="375">
        <f t="shared" si="2"/>
        <v>0.3379204892966361</v>
      </c>
    </row>
    <row r="79" spans="1:6" ht="15">
      <c r="A79" s="320" t="str">
        <f t="shared" si="3"/>
        <v>(64</v>
      </c>
      <c r="B79" s="321" t="s">
        <v>533</v>
      </c>
      <c r="C79" s="320">
        <v>1384</v>
      </c>
      <c r="D79" s="321" t="s">
        <v>533</v>
      </c>
      <c r="E79" s="320">
        <v>1865</v>
      </c>
      <c r="F79" s="375">
        <f t="shared" si="2"/>
        <v>0.3475433526011561</v>
      </c>
    </row>
    <row r="80" spans="1:6" ht="15">
      <c r="A80" s="320" t="str">
        <f t="shared" si="3"/>
        <v>(65</v>
      </c>
      <c r="B80" s="321" t="s">
        <v>534</v>
      </c>
      <c r="C80" s="320">
        <v>1066</v>
      </c>
      <c r="D80" s="321" t="s">
        <v>534</v>
      </c>
      <c r="E80" s="320">
        <v>1484</v>
      </c>
      <c r="F80" s="375">
        <f t="shared" si="2"/>
        <v>0.3921200750469043</v>
      </c>
    </row>
    <row r="81" spans="1:6" ht="15">
      <c r="A81" s="320" t="str">
        <f t="shared" si="3"/>
        <v>(66</v>
      </c>
      <c r="B81" s="321" t="s">
        <v>535</v>
      </c>
      <c r="C81" s="320">
        <v>965</v>
      </c>
      <c r="D81" s="321" t="s">
        <v>535</v>
      </c>
      <c r="E81" s="320">
        <v>1220</v>
      </c>
      <c r="F81" s="375">
        <f t="shared" si="2"/>
        <v>0.26424870466321243</v>
      </c>
    </row>
    <row r="82" spans="1:6" ht="15">
      <c r="A82" s="320" t="str">
        <f t="shared" si="3"/>
        <v>(L)</v>
      </c>
      <c r="B82" s="321" t="s">
        <v>175</v>
      </c>
      <c r="C82" s="320">
        <v>529</v>
      </c>
      <c r="D82" s="321" t="s">
        <v>175</v>
      </c>
      <c r="E82" s="320">
        <v>768</v>
      </c>
      <c r="F82" s="375">
        <f t="shared" si="2"/>
        <v>0.45179584120982985</v>
      </c>
    </row>
    <row r="83" spans="1:6" ht="15">
      <c r="A83" s="320" t="str">
        <f t="shared" si="3"/>
        <v>(68</v>
      </c>
      <c r="B83" s="321" t="s">
        <v>536</v>
      </c>
      <c r="C83" s="320">
        <v>529</v>
      </c>
      <c r="D83" s="321" t="s">
        <v>536</v>
      </c>
      <c r="E83" s="320">
        <v>768</v>
      </c>
      <c r="F83" s="375">
        <f t="shared" si="2"/>
        <v>0.45179584120982985</v>
      </c>
    </row>
    <row r="84" spans="1:6" ht="15">
      <c r="A84" s="320" t="str">
        <f t="shared" si="3"/>
        <v>(M)</v>
      </c>
      <c r="B84" s="321" t="s">
        <v>176</v>
      </c>
      <c r="C84" s="320">
        <v>863</v>
      </c>
      <c r="D84" s="321" t="s">
        <v>176</v>
      </c>
      <c r="E84" s="320">
        <v>957</v>
      </c>
      <c r="F84" s="375">
        <f t="shared" si="2"/>
        <v>0.10892236384704519</v>
      </c>
    </row>
    <row r="85" spans="1:6" ht="15">
      <c r="A85" s="320" t="str">
        <f t="shared" si="3"/>
        <v>(69</v>
      </c>
      <c r="B85" s="321" t="s">
        <v>537</v>
      </c>
      <c r="C85" s="320">
        <v>712</v>
      </c>
      <c r="D85" s="321" t="s">
        <v>537</v>
      </c>
      <c r="E85" s="320">
        <v>890</v>
      </c>
      <c r="F85" s="375">
        <f t="shared" si="2"/>
        <v>0.25</v>
      </c>
    </row>
    <row r="86" spans="1:6" ht="15">
      <c r="A86" s="320" t="str">
        <f t="shared" si="3"/>
        <v>(70</v>
      </c>
      <c r="B86" s="321" t="s">
        <v>538</v>
      </c>
      <c r="C86" s="320">
        <v>1074</v>
      </c>
      <c r="D86" s="321" t="s">
        <v>538</v>
      </c>
      <c r="E86" s="320">
        <v>1060</v>
      </c>
      <c r="F86" s="375">
        <f t="shared" si="2"/>
        <v>-0.01303538175046555</v>
      </c>
    </row>
    <row r="87" spans="1:6" ht="15">
      <c r="A87" s="320" t="str">
        <f t="shared" si="3"/>
        <v>(71</v>
      </c>
      <c r="B87" s="321" t="s">
        <v>539</v>
      </c>
      <c r="C87" s="320">
        <v>831</v>
      </c>
      <c r="D87" s="321" t="s">
        <v>539</v>
      </c>
      <c r="E87" s="320">
        <v>991</v>
      </c>
      <c r="F87" s="375">
        <f t="shared" si="2"/>
        <v>0.19253910950661854</v>
      </c>
    </row>
    <row r="88" spans="1:6" ht="15">
      <c r="A88" s="320" t="str">
        <f t="shared" si="3"/>
        <v>(72</v>
      </c>
      <c r="B88" s="321" t="s">
        <v>540</v>
      </c>
      <c r="C88" s="320">
        <v>975</v>
      </c>
      <c r="D88" s="321" t="s">
        <v>540</v>
      </c>
      <c r="E88" s="320">
        <v>1222</v>
      </c>
      <c r="F88" s="375">
        <f t="shared" si="2"/>
        <v>0.25333333333333335</v>
      </c>
    </row>
    <row r="89" spans="1:6" ht="15">
      <c r="A89" s="320" t="str">
        <f t="shared" si="3"/>
        <v>(73</v>
      </c>
      <c r="B89" s="321" t="s">
        <v>541</v>
      </c>
      <c r="C89" s="320">
        <v>1031</v>
      </c>
      <c r="D89" s="321" t="s">
        <v>541</v>
      </c>
      <c r="E89" s="320">
        <v>1012</v>
      </c>
      <c r="F89" s="375">
        <f t="shared" si="2"/>
        <v>-0.01842870999030068</v>
      </c>
    </row>
    <row r="90" spans="1:6" ht="15">
      <c r="A90" s="320" t="str">
        <f t="shared" si="3"/>
        <v>(74</v>
      </c>
      <c r="B90" s="321" t="s">
        <v>542</v>
      </c>
      <c r="C90" s="320">
        <v>682</v>
      </c>
      <c r="D90" s="321" t="s">
        <v>542</v>
      </c>
      <c r="E90" s="320">
        <v>750</v>
      </c>
      <c r="F90" s="375">
        <f t="shared" si="2"/>
        <v>0.09970674486803519</v>
      </c>
    </row>
    <row r="91" spans="1:6" ht="15">
      <c r="A91" s="320" t="str">
        <f t="shared" si="3"/>
        <v>(75</v>
      </c>
      <c r="B91" s="321" t="s">
        <v>543</v>
      </c>
      <c r="C91" s="320">
        <v>334</v>
      </c>
      <c r="D91" s="321" t="s">
        <v>543</v>
      </c>
      <c r="E91" s="320">
        <v>556</v>
      </c>
      <c r="F91" s="375">
        <f t="shared" si="2"/>
        <v>0.6646706586826348</v>
      </c>
    </row>
    <row r="92" spans="1:6" ht="15">
      <c r="A92" s="320" t="str">
        <f t="shared" si="3"/>
        <v>(N)</v>
      </c>
      <c r="B92" s="321" t="s">
        <v>177</v>
      </c>
      <c r="C92" s="320">
        <v>627</v>
      </c>
      <c r="D92" s="321" t="s">
        <v>177</v>
      </c>
      <c r="E92" s="320">
        <v>731</v>
      </c>
      <c r="F92" s="375">
        <f t="shared" si="2"/>
        <v>0.16586921850079744</v>
      </c>
    </row>
    <row r="93" spans="1:6" ht="15">
      <c r="A93" s="320" t="str">
        <f t="shared" si="3"/>
        <v>(77</v>
      </c>
      <c r="B93" s="321" t="s">
        <v>544</v>
      </c>
      <c r="C93" s="320">
        <v>760</v>
      </c>
      <c r="D93" s="321" t="s">
        <v>544</v>
      </c>
      <c r="E93" s="320">
        <v>1008</v>
      </c>
      <c r="F93" s="375">
        <f t="shared" si="2"/>
        <v>0.3263157894736842</v>
      </c>
    </row>
    <row r="94" spans="1:6" ht="15">
      <c r="A94" s="320" t="str">
        <f t="shared" si="3"/>
        <v>(78</v>
      </c>
      <c r="B94" s="321" t="s">
        <v>545</v>
      </c>
      <c r="C94" s="320">
        <v>826</v>
      </c>
      <c r="D94" s="321" t="s">
        <v>545</v>
      </c>
      <c r="E94" s="320">
        <v>934</v>
      </c>
      <c r="F94" s="375">
        <f t="shared" si="2"/>
        <v>0.13075060532687652</v>
      </c>
    </row>
    <row r="95" spans="1:6" ht="15">
      <c r="A95" s="320" t="str">
        <f t="shared" si="3"/>
        <v>(79</v>
      </c>
      <c r="B95" s="321" t="s">
        <v>546</v>
      </c>
      <c r="C95" s="320">
        <v>576</v>
      </c>
      <c r="D95" s="321" t="s">
        <v>546</v>
      </c>
      <c r="E95" s="320">
        <v>802</v>
      </c>
      <c r="F95" s="375">
        <f t="shared" si="2"/>
        <v>0.3923611111111111</v>
      </c>
    </row>
    <row r="96" spans="1:6" ht="15">
      <c r="A96" s="320" t="str">
        <f t="shared" si="3"/>
        <v>(80</v>
      </c>
      <c r="B96" s="321" t="s">
        <v>547</v>
      </c>
      <c r="C96" s="320">
        <v>480</v>
      </c>
      <c r="D96" s="321" t="s">
        <v>547</v>
      </c>
      <c r="E96" s="320">
        <v>559</v>
      </c>
      <c r="F96" s="375">
        <f t="shared" si="2"/>
        <v>0.16458333333333333</v>
      </c>
    </row>
    <row r="97" spans="1:6" ht="15">
      <c r="A97" s="320" t="str">
        <f t="shared" si="3"/>
        <v>(81</v>
      </c>
      <c r="B97" s="321" t="s">
        <v>548</v>
      </c>
      <c r="C97" s="320">
        <v>647</v>
      </c>
      <c r="D97" s="321" t="s">
        <v>548</v>
      </c>
      <c r="E97" s="320">
        <v>652</v>
      </c>
      <c r="F97" s="375">
        <f t="shared" si="2"/>
        <v>0.0077279752704791345</v>
      </c>
    </row>
    <row r="98" spans="1:6" ht="15">
      <c r="A98" s="320" t="str">
        <f t="shared" si="3"/>
        <v>(82</v>
      </c>
      <c r="B98" s="321" t="s">
        <v>549</v>
      </c>
      <c r="C98" s="320">
        <v>895</v>
      </c>
      <c r="D98" s="321" t="s">
        <v>549</v>
      </c>
      <c r="E98" s="320">
        <v>936</v>
      </c>
      <c r="F98" s="375">
        <f t="shared" si="2"/>
        <v>0.04581005586592179</v>
      </c>
    </row>
    <row r="99" spans="1:6" ht="15">
      <c r="A99" s="320" t="str">
        <f t="shared" si="3"/>
        <v>(O)</v>
      </c>
      <c r="B99" s="321" t="s">
        <v>178</v>
      </c>
      <c r="C99" s="320">
        <v>743</v>
      </c>
      <c r="D99" s="321" t="s">
        <v>178</v>
      </c>
      <c r="E99" s="320">
        <v>1037</v>
      </c>
      <c r="F99" s="375">
        <f t="shared" si="2"/>
        <v>0.39569313593539707</v>
      </c>
    </row>
    <row r="100" spans="1:6" ht="15">
      <c r="A100" s="320" t="str">
        <f t="shared" si="3"/>
        <v>(84</v>
      </c>
      <c r="B100" s="321" t="s">
        <v>550</v>
      </c>
      <c r="C100" s="320">
        <v>743</v>
      </c>
      <c r="D100" s="321" t="s">
        <v>550</v>
      </c>
      <c r="E100" s="320">
        <v>1037</v>
      </c>
      <c r="F100" s="375">
        <f t="shared" si="2"/>
        <v>0.39569313593539707</v>
      </c>
    </row>
    <row r="101" spans="1:6" ht="15">
      <c r="A101" s="320" t="str">
        <f t="shared" si="3"/>
        <v>(P)</v>
      </c>
      <c r="B101" s="321" t="s">
        <v>179</v>
      </c>
      <c r="C101" s="320">
        <v>581</v>
      </c>
      <c r="D101" s="321" t="s">
        <v>179</v>
      </c>
      <c r="E101" s="320">
        <v>688</v>
      </c>
      <c r="F101" s="375">
        <f t="shared" si="2"/>
        <v>0.18416523235800344</v>
      </c>
    </row>
    <row r="102" spans="1:6" ht="15">
      <c r="A102" s="320" t="str">
        <f t="shared" si="3"/>
        <v>(85</v>
      </c>
      <c r="B102" s="321" t="s">
        <v>551</v>
      </c>
      <c r="C102" s="320">
        <v>581</v>
      </c>
      <c r="D102" s="321" t="s">
        <v>551</v>
      </c>
      <c r="E102" s="320">
        <v>688</v>
      </c>
      <c r="F102" s="375">
        <f t="shared" si="2"/>
        <v>0.18416523235800344</v>
      </c>
    </row>
    <row r="103" spans="1:6" ht="15">
      <c r="A103" s="320" t="str">
        <f t="shared" si="3"/>
        <v>(Q)</v>
      </c>
      <c r="B103" s="321" t="s">
        <v>180</v>
      </c>
      <c r="C103" s="320">
        <v>622</v>
      </c>
      <c r="D103" s="321" t="s">
        <v>180</v>
      </c>
      <c r="E103" s="320">
        <v>789</v>
      </c>
      <c r="F103" s="375">
        <f t="shared" si="2"/>
        <v>0.2684887459807074</v>
      </c>
    </row>
    <row r="104" spans="1:6" ht="15">
      <c r="A104" s="320" t="str">
        <f t="shared" si="3"/>
        <v>(86</v>
      </c>
      <c r="B104" s="321" t="s">
        <v>552</v>
      </c>
      <c r="C104" s="320">
        <v>685</v>
      </c>
      <c r="D104" s="321" t="s">
        <v>552</v>
      </c>
      <c r="E104" s="320">
        <v>860</v>
      </c>
      <c r="F104" s="375">
        <f t="shared" si="2"/>
        <v>0.25547445255474455</v>
      </c>
    </row>
    <row r="105" spans="1:6" ht="15">
      <c r="A105" s="320" t="str">
        <f t="shared" si="3"/>
        <v>(87</v>
      </c>
      <c r="B105" s="321" t="s">
        <v>553</v>
      </c>
      <c r="C105" s="320">
        <v>410</v>
      </c>
      <c r="D105" s="321" t="s">
        <v>553</v>
      </c>
      <c r="E105" s="320">
        <v>579</v>
      </c>
      <c r="F105" s="375">
        <f t="shared" si="2"/>
        <v>0.4121951219512195</v>
      </c>
    </row>
    <row r="106" spans="1:6" ht="15">
      <c r="A106" s="320" t="str">
        <f t="shared" si="3"/>
        <v>(88</v>
      </c>
      <c r="B106" s="321" t="s">
        <v>554</v>
      </c>
      <c r="C106" s="320">
        <v>502</v>
      </c>
      <c r="D106" s="321" t="s">
        <v>554</v>
      </c>
      <c r="E106" s="320">
        <v>643</v>
      </c>
      <c r="F106" s="375">
        <f t="shared" si="2"/>
        <v>0.28087649402390436</v>
      </c>
    </row>
    <row r="107" spans="1:6" ht="15">
      <c r="A107" s="320" t="str">
        <f t="shared" si="3"/>
        <v>(R)</v>
      </c>
      <c r="B107" s="321" t="s">
        <v>181</v>
      </c>
      <c r="C107" s="320">
        <v>531</v>
      </c>
      <c r="D107" s="321" t="s">
        <v>181</v>
      </c>
      <c r="E107" s="320">
        <v>749</v>
      </c>
      <c r="F107" s="375">
        <f t="shared" si="2"/>
        <v>0.4105461393596987</v>
      </c>
    </row>
    <row r="108" spans="1:6" ht="15">
      <c r="A108" s="320" t="str">
        <f t="shared" si="3"/>
        <v>(90</v>
      </c>
      <c r="B108" s="321" t="s">
        <v>555</v>
      </c>
      <c r="C108" s="320">
        <v>514</v>
      </c>
      <c r="D108" s="321" t="s">
        <v>555</v>
      </c>
      <c r="E108" s="320">
        <v>712</v>
      </c>
      <c r="F108" s="375">
        <f t="shared" si="2"/>
        <v>0.3852140077821012</v>
      </c>
    </row>
    <row r="109" spans="1:6" ht="15">
      <c r="A109" s="320" t="str">
        <f t="shared" si="3"/>
        <v>(91</v>
      </c>
      <c r="B109" s="321" t="s">
        <v>556</v>
      </c>
      <c r="C109" s="320">
        <v>492</v>
      </c>
      <c r="D109" s="321" t="s">
        <v>556</v>
      </c>
      <c r="E109" s="320">
        <v>724</v>
      </c>
      <c r="F109" s="375">
        <f t="shared" si="2"/>
        <v>0.4715447154471545</v>
      </c>
    </row>
    <row r="110" spans="1:6" ht="15">
      <c r="A110" s="320" t="str">
        <f t="shared" si="3"/>
        <v>(92</v>
      </c>
      <c r="B110" s="321" t="s">
        <v>557</v>
      </c>
      <c r="C110" s="320">
        <v>598</v>
      </c>
      <c r="D110" s="321" t="s">
        <v>557</v>
      </c>
      <c r="E110" s="320">
        <v>876</v>
      </c>
      <c r="F110" s="375">
        <f t="shared" si="2"/>
        <v>0.46488294314381273</v>
      </c>
    </row>
    <row r="111" spans="1:6" ht="15">
      <c r="A111" s="320" t="str">
        <f t="shared" si="3"/>
        <v>(93</v>
      </c>
      <c r="B111" s="321" t="s">
        <v>558</v>
      </c>
      <c r="C111" s="320">
        <v>554</v>
      </c>
      <c r="D111" s="321" t="s">
        <v>558</v>
      </c>
      <c r="E111" s="320">
        <v>726</v>
      </c>
      <c r="F111" s="375">
        <f t="shared" si="2"/>
        <v>0.3104693140794224</v>
      </c>
    </row>
    <row r="112" spans="1:6" ht="15">
      <c r="A112" s="320" t="str">
        <f t="shared" si="3"/>
        <v>(S)</v>
      </c>
      <c r="B112" s="321" t="s">
        <v>182</v>
      </c>
      <c r="C112" s="320">
        <v>507</v>
      </c>
      <c r="D112" s="321" t="s">
        <v>182</v>
      </c>
      <c r="E112" s="320">
        <v>670</v>
      </c>
      <c r="F112" s="375">
        <f t="shared" si="2"/>
        <v>0.3214990138067061</v>
      </c>
    </row>
    <row r="113" spans="1:6" ht="15">
      <c r="A113" s="320" t="str">
        <f t="shared" si="3"/>
        <v>(94</v>
      </c>
      <c r="B113" s="321" t="s">
        <v>559</v>
      </c>
      <c r="C113" s="320">
        <v>813</v>
      </c>
      <c r="D113" s="321" t="s">
        <v>559</v>
      </c>
      <c r="E113" s="320">
        <v>1068</v>
      </c>
      <c r="F113" s="375">
        <f t="shared" si="2"/>
        <v>0.31365313653136534</v>
      </c>
    </row>
    <row r="114" spans="1:6" ht="15">
      <c r="A114" s="320" t="str">
        <f t="shared" si="3"/>
        <v>(95</v>
      </c>
      <c r="B114" s="321" t="s">
        <v>560</v>
      </c>
      <c r="C114" s="320">
        <v>406</v>
      </c>
      <c r="D114" s="321" t="s">
        <v>560</v>
      </c>
      <c r="E114" s="320">
        <v>552</v>
      </c>
      <c r="F114" s="375">
        <f t="shared" si="2"/>
        <v>0.35960591133004927</v>
      </c>
    </row>
    <row r="115" spans="1:6" ht="15">
      <c r="A115" s="320" t="str">
        <f t="shared" si="3"/>
        <v>(96</v>
      </c>
      <c r="B115" s="321" t="s">
        <v>561</v>
      </c>
      <c r="C115" s="320">
        <v>354</v>
      </c>
      <c r="D115" s="321" t="s">
        <v>561</v>
      </c>
      <c r="E115" s="320">
        <v>513</v>
      </c>
      <c r="F115" s="375">
        <f t="shared" si="2"/>
        <v>0.4491525423728814</v>
      </c>
    </row>
  </sheetData>
  <sheetProtection/>
  <mergeCells count="1">
    <mergeCell ref="B1:E1"/>
  </mergeCells>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sheetPr>
    <tabColor rgb="FFFFE600"/>
    <pageSetUpPr fitToPage="1"/>
  </sheetPr>
  <dimension ref="A1:AA52"/>
  <sheetViews>
    <sheetView showGridLines="0" zoomScale="55" zoomScaleNormal="55" zoomScalePageLayoutView="0" workbookViewId="0" topLeftCell="A1">
      <selection activeCell="Z3" sqref="Z3"/>
    </sheetView>
  </sheetViews>
  <sheetFormatPr defaultColWidth="9.00390625" defaultRowHeight="15.75"/>
  <cols>
    <col min="1" max="1" width="2.25390625" style="2" customWidth="1"/>
    <col min="2" max="2" width="4.50390625" style="2" customWidth="1"/>
    <col min="3" max="3" width="69.25390625" style="2" customWidth="1"/>
    <col min="4" max="4" width="5.25390625" style="23" customWidth="1"/>
    <col min="5" max="25" width="11.75390625" style="2" customWidth="1"/>
    <col min="26" max="26" width="11.25390625" style="2" customWidth="1"/>
    <col min="27" max="27" width="8.25390625" style="2" customWidth="1"/>
    <col min="28" max="16384" width="8.75390625" style="2" customWidth="1"/>
  </cols>
  <sheetData>
    <row r="1" spans="1:26" ht="13.5">
      <c r="A1" s="15"/>
      <c r="B1" s="16"/>
      <c r="C1" s="16"/>
      <c r="D1" s="24"/>
      <c r="E1" s="16"/>
      <c r="F1" s="16"/>
      <c r="G1" s="16"/>
      <c r="H1" s="16"/>
      <c r="I1" s="16"/>
      <c r="J1" s="16"/>
      <c r="K1" s="16"/>
      <c r="L1" s="16"/>
      <c r="M1" s="16"/>
      <c r="N1" s="16"/>
      <c r="O1" s="16"/>
      <c r="P1" s="16"/>
      <c r="Q1" s="16"/>
      <c r="R1" s="16"/>
      <c r="S1" s="16"/>
      <c r="T1" s="16"/>
      <c r="U1" s="16"/>
      <c r="V1" s="16"/>
      <c r="W1" s="16"/>
      <c r="X1" s="16"/>
      <c r="Y1" s="16"/>
      <c r="Z1" s="17"/>
    </row>
    <row r="2" spans="1:26" ht="13.5">
      <c r="A2" s="3"/>
      <c r="B2" s="4"/>
      <c r="C2" s="5"/>
      <c r="D2" s="25"/>
      <c r="E2" s="5"/>
      <c r="F2" s="5"/>
      <c r="G2" s="5"/>
      <c r="H2" s="5"/>
      <c r="I2" s="5"/>
      <c r="J2" s="5"/>
      <c r="K2" s="5"/>
      <c r="L2" s="5"/>
      <c r="M2" s="5"/>
      <c r="N2" s="5"/>
      <c r="O2" s="5"/>
      <c r="P2" s="5"/>
      <c r="Q2" s="5"/>
      <c r="R2" s="5"/>
      <c r="S2" s="5"/>
      <c r="T2" s="5"/>
      <c r="U2" s="5"/>
      <c r="V2" s="5"/>
      <c r="W2" s="5"/>
      <c r="X2" s="5"/>
      <c r="Y2" s="5"/>
      <c r="Z2" s="6"/>
    </row>
    <row r="3" spans="1:26" ht="30">
      <c r="A3" s="7"/>
      <c r="B3" s="8"/>
      <c r="C3" s="491"/>
      <c r="D3" s="26" t="s">
        <v>3</v>
      </c>
      <c r="E3" s="38">
        <v>2016</v>
      </c>
      <c r="F3" s="38">
        <v>2017</v>
      </c>
      <c r="G3" s="38">
        <v>2018</v>
      </c>
      <c r="H3" s="38">
        <v>2019</v>
      </c>
      <c r="I3" s="317">
        <v>2020</v>
      </c>
      <c r="J3" s="317">
        <v>2021</v>
      </c>
      <c r="K3" s="317">
        <v>2022</v>
      </c>
      <c r="L3" s="317">
        <v>2023</v>
      </c>
      <c r="M3" s="317">
        <v>2024</v>
      </c>
      <c r="N3" s="317">
        <v>2025</v>
      </c>
      <c r="O3" s="317">
        <v>2026</v>
      </c>
      <c r="P3" s="317">
        <v>2027</v>
      </c>
      <c r="Q3" s="317">
        <v>2028</v>
      </c>
      <c r="R3" s="317">
        <v>2029</v>
      </c>
      <c r="S3" s="317">
        <v>2030</v>
      </c>
      <c r="T3" s="317">
        <v>2031</v>
      </c>
      <c r="U3" s="317">
        <v>2032</v>
      </c>
      <c r="V3" s="317">
        <v>2033</v>
      </c>
      <c r="W3" s="317">
        <v>2034</v>
      </c>
      <c r="X3" s="317">
        <v>2035</v>
      </c>
      <c r="Y3" s="317">
        <v>2036</v>
      </c>
      <c r="Z3" s="9" t="s">
        <v>21</v>
      </c>
    </row>
    <row r="4" spans="1:26" ht="13.5">
      <c r="A4" s="10"/>
      <c r="B4" s="10"/>
      <c r="C4" s="10"/>
      <c r="D4" s="27"/>
      <c r="E4" s="11"/>
      <c r="F4" s="11"/>
      <c r="G4" s="11"/>
      <c r="H4" s="11"/>
      <c r="I4" s="11"/>
      <c r="J4" s="11"/>
      <c r="K4" s="11"/>
      <c r="L4" s="11"/>
      <c r="M4" s="11"/>
      <c r="N4" s="11"/>
      <c r="O4" s="11"/>
      <c r="P4" s="11"/>
      <c r="Q4" s="11"/>
      <c r="R4" s="11"/>
      <c r="S4" s="11"/>
      <c r="T4" s="11"/>
      <c r="U4" s="11"/>
      <c r="V4" s="11"/>
      <c r="W4" s="11"/>
      <c r="X4" s="11"/>
      <c r="Y4" s="11"/>
      <c r="Z4" s="11"/>
    </row>
    <row r="5" spans="1:26" ht="13.5">
      <c r="A5" s="18"/>
      <c r="B5" s="19" t="s">
        <v>23</v>
      </c>
      <c r="C5" s="19"/>
      <c r="D5" s="28"/>
      <c r="E5" s="20"/>
      <c r="F5" s="20"/>
      <c r="G5" s="20"/>
      <c r="H5" s="20"/>
      <c r="I5" s="20"/>
      <c r="J5" s="20"/>
      <c r="K5" s="20"/>
      <c r="L5" s="20"/>
      <c r="M5" s="20"/>
      <c r="N5" s="20"/>
      <c r="O5" s="20"/>
      <c r="P5" s="20"/>
      <c r="Q5" s="20"/>
      <c r="R5" s="20"/>
      <c r="S5" s="20"/>
      <c r="T5" s="20"/>
      <c r="U5" s="20"/>
      <c r="V5" s="20"/>
      <c r="W5" s="20"/>
      <c r="X5" s="20"/>
      <c r="Y5" s="20"/>
      <c r="Z5" s="21"/>
    </row>
    <row r="6" spans="1:26" ht="13.5">
      <c r="A6" s="10"/>
      <c r="B6" s="10"/>
      <c r="C6" s="10"/>
      <c r="D6" s="27"/>
      <c r="E6" s="11"/>
      <c r="F6" s="11"/>
      <c r="G6" s="11"/>
      <c r="H6" s="11"/>
      <c r="I6" s="11"/>
      <c r="J6" s="11"/>
      <c r="K6" s="11"/>
      <c r="L6" s="11"/>
      <c r="M6" s="11"/>
      <c r="N6" s="11"/>
      <c r="O6" s="11"/>
      <c r="P6" s="11"/>
      <c r="Q6" s="11"/>
      <c r="R6" s="11"/>
      <c r="S6" s="11"/>
      <c r="T6" s="11"/>
      <c r="U6" s="11"/>
      <c r="V6" s="11"/>
      <c r="W6" s="11"/>
      <c r="X6" s="11"/>
      <c r="Y6" s="11"/>
      <c r="Z6" s="11"/>
    </row>
    <row r="7" spans="1:27" ht="13.5">
      <c r="A7" s="176"/>
      <c r="B7" s="177">
        <v>1</v>
      </c>
      <c r="C7" s="178" t="s">
        <v>24</v>
      </c>
      <c r="D7" s="177" t="s">
        <v>52</v>
      </c>
      <c r="E7" s="65">
        <f aca="true" t="shared" si="0" ref="E7:X7">SUM(E8:E14)</f>
        <v>0</v>
      </c>
      <c r="F7" s="65">
        <f t="shared" si="0"/>
        <v>0</v>
      </c>
      <c r="G7" s="65">
        <f t="shared" si="0"/>
        <v>0</v>
      </c>
      <c r="H7" s="65">
        <f t="shared" si="0"/>
        <v>0</v>
      </c>
      <c r="I7" s="65">
        <f t="shared" si="0"/>
        <v>0</v>
      </c>
      <c r="J7" s="65">
        <f t="shared" si="0"/>
        <v>0</v>
      </c>
      <c r="K7" s="65">
        <f t="shared" si="0"/>
        <v>0</v>
      </c>
      <c r="L7" s="65">
        <f t="shared" si="0"/>
        <v>0</v>
      </c>
      <c r="M7" s="65">
        <f t="shared" si="0"/>
        <v>0</v>
      </c>
      <c r="N7" s="65">
        <f t="shared" si="0"/>
        <v>0</v>
      </c>
      <c r="O7" s="65">
        <f t="shared" si="0"/>
        <v>0</v>
      </c>
      <c r="P7" s="65">
        <f t="shared" si="0"/>
        <v>0</v>
      </c>
      <c r="Q7" s="65">
        <f t="shared" si="0"/>
        <v>0</v>
      </c>
      <c r="R7" s="65">
        <f t="shared" si="0"/>
        <v>0</v>
      </c>
      <c r="S7" s="65">
        <f t="shared" si="0"/>
        <v>0</v>
      </c>
      <c r="T7" s="65">
        <f t="shared" si="0"/>
        <v>0</v>
      </c>
      <c r="U7" s="65">
        <f t="shared" si="0"/>
        <v>0</v>
      </c>
      <c r="V7" s="65">
        <f t="shared" si="0"/>
        <v>0</v>
      </c>
      <c r="W7" s="65">
        <f t="shared" si="0"/>
        <v>0</v>
      </c>
      <c r="X7" s="65">
        <f t="shared" si="0"/>
        <v>0</v>
      </c>
      <c r="Y7" s="65">
        <f>SUM(Y8:Y14)</f>
        <v>0</v>
      </c>
      <c r="Z7" s="67">
        <f>SUM(E7:Y7)</f>
        <v>0</v>
      </c>
      <c r="AA7" s="312"/>
    </row>
    <row r="8" spans="1:27" ht="13.5">
      <c r="A8" s="12"/>
      <c r="B8" s="13" t="s">
        <v>4</v>
      </c>
      <c r="C8" s="29" t="s">
        <v>592</v>
      </c>
      <c r="D8" s="14" t="s">
        <v>52</v>
      </c>
      <c r="E8" s="69">
        <f>1!G52</f>
        <v>0</v>
      </c>
      <c r="F8" s="69">
        <f>1!H52</f>
        <v>0</v>
      </c>
      <c r="G8" s="69">
        <f>1!I52</f>
        <v>0</v>
      </c>
      <c r="H8" s="69">
        <f>1!J52</f>
        <v>0</v>
      </c>
      <c r="I8" s="69">
        <f>1!K52</f>
        <v>0</v>
      </c>
      <c r="J8" s="69">
        <f>1!L52</f>
        <v>0</v>
      </c>
      <c r="K8" s="69">
        <f>1!M52</f>
        <v>0</v>
      </c>
      <c r="L8" s="69">
        <f>1!N52</f>
        <v>0</v>
      </c>
      <c r="M8" s="69">
        <f>1!O52</f>
        <v>0</v>
      </c>
      <c r="N8" s="69">
        <f>1!P52</f>
        <v>0</v>
      </c>
      <c r="O8" s="69">
        <f>1!Q52</f>
        <v>0</v>
      </c>
      <c r="P8" s="69">
        <f>1!R52</f>
        <v>0</v>
      </c>
      <c r="Q8" s="69">
        <f>1!S52</f>
        <v>0</v>
      </c>
      <c r="R8" s="69">
        <f>1!T52</f>
        <v>0</v>
      </c>
      <c r="S8" s="69">
        <f>1!U52</f>
        <v>0</v>
      </c>
      <c r="T8" s="69">
        <f>1!V52</f>
        <v>0</v>
      </c>
      <c r="U8" s="69">
        <f>1!W52</f>
        <v>0</v>
      </c>
      <c r="V8" s="69">
        <f>1!X52</f>
        <v>0</v>
      </c>
      <c r="W8" s="69">
        <f>1!Y52</f>
        <v>0</v>
      </c>
      <c r="X8" s="69">
        <f>1!Z52</f>
        <v>0</v>
      </c>
      <c r="Y8" s="69">
        <f>1!AA52</f>
        <v>0</v>
      </c>
      <c r="Z8" s="68">
        <f>SUM(E8:Y8)</f>
        <v>0</v>
      </c>
      <c r="AA8" s="472"/>
    </row>
    <row r="9" spans="1:27" ht="13.5">
      <c r="A9" s="12"/>
      <c r="B9" s="13" t="s">
        <v>5</v>
      </c>
      <c r="C9" s="29" t="s">
        <v>593</v>
      </c>
      <c r="D9" s="14" t="s">
        <v>52</v>
      </c>
      <c r="E9" s="69">
        <f>2!G230</f>
        <v>0</v>
      </c>
      <c r="F9" s="69">
        <f>2!H230</f>
        <v>0</v>
      </c>
      <c r="G9" s="69">
        <f>2!I230</f>
        <v>0</v>
      </c>
      <c r="H9" s="69">
        <f>2!J230</f>
        <v>0</v>
      </c>
      <c r="I9" s="69">
        <f>2!K230</f>
        <v>0</v>
      </c>
      <c r="J9" s="69">
        <f>2!L230</f>
        <v>0</v>
      </c>
      <c r="K9" s="69">
        <f>2!M230</f>
        <v>0</v>
      </c>
      <c r="L9" s="69">
        <f>2!N230</f>
        <v>0</v>
      </c>
      <c r="M9" s="69">
        <f>2!O230</f>
        <v>0</v>
      </c>
      <c r="N9" s="69">
        <f>2!P230</f>
        <v>0</v>
      </c>
      <c r="O9" s="69">
        <f>2!Q230</f>
        <v>0</v>
      </c>
      <c r="P9" s="69">
        <f>2!R230</f>
        <v>0</v>
      </c>
      <c r="Q9" s="69">
        <f>2!S230</f>
        <v>0</v>
      </c>
      <c r="R9" s="69">
        <f>2!T230</f>
        <v>0</v>
      </c>
      <c r="S9" s="69">
        <f>2!U230</f>
        <v>0</v>
      </c>
      <c r="T9" s="69">
        <f>2!V230</f>
        <v>0</v>
      </c>
      <c r="U9" s="69">
        <f>2!W230</f>
        <v>0</v>
      </c>
      <c r="V9" s="69">
        <f>2!X230</f>
        <v>0</v>
      </c>
      <c r="W9" s="69">
        <f>2!Y230</f>
        <v>0</v>
      </c>
      <c r="X9" s="69">
        <f>2!Z230</f>
        <v>0</v>
      </c>
      <c r="Y9" s="69">
        <f>2!AA230</f>
        <v>0</v>
      </c>
      <c r="Z9" s="68">
        <f aca="true" t="shared" si="1" ref="Z9:Z32">SUM(E9:Y9)</f>
        <v>0</v>
      </c>
      <c r="AA9" s="472"/>
    </row>
    <row r="10" spans="1:27" ht="13.5">
      <c r="A10" s="12"/>
      <c r="B10" s="13" t="s">
        <v>7</v>
      </c>
      <c r="C10" s="29" t="s">
        <v>594</v>
      </c>
      <c r="D10" s="14" t="s">
        <v>52</v>
      </c>
      <c r="E10" s="69">
        <f>3!G14</f>
        <v>0</v>
      </c>
      <c r="F10" s="69">
        <f>3!H14</f>
        <v>0</v>
      </c>
      <c r="G10" s="69">
        <f>3!I14</f>
        <v>0</v>
      </c>
      <c r="H10" s="69">
        <f>3!J14</f>
        <v>0</v>
      </c>
      <c r="I10" s="69">
        <f>3!K14</f>
        <v>0</v>
      </c>
      <c r="J10" s="69">
        <f>3!L14</f>
        <v>0</v>
      </c>
      <c r="K10" s="69">
        <f>3!M14</f>
        <v>0</v>
      </c>
      <c r="L10" s="69">
        <f>3!N14</f>
        <v>0</v>
      </c>
      <c r="M10" s="69">
        <f>3!O14</f>
        <v>0</v>
      </c>
      <c r="N10" s="69">
        <f>3!P14</f>
        <v>0</v>
      </c>
      <c r="O10" s="69">
        <f>3!Q14</f>
        <v>0</v>
      </c>
      <c r="P10" s="69">
        <f>3!R14</f>
        <v>0</v>
      </c>
      <c r="Q10" s="69">
        <f>3!S14</f>
        <v>0</v>
      </c>
      <c r="R10" s="69">
        <f>3!T14</f>
        <v>0</v>
      </c>
      <c r="S10" s="69">
        <f>3!U14</f>
        <v>0</v>
      </c>
      <c r="T10" s="69">
        <f>3!V14</f>
        <v>0</v>
      </c>
      <c r="U10" s="69">
        <f>3!W14</f>
        <v>0</v>
      </c>
      <c r="V10" s="69">
        <f>3!X14</f>
        <v>0</v>
      </c>
      <c r="W10" s="69">
        <f>3!Y14</f>
        <v>0</v>
      </c>
      <c r="X10" s="69">
        <f>3!Z14</f>
        <v>0</v>
      </c>
      <c r="Y10" s="69">
        <f>3!AA14</f>
        <v>0</v>
      </c>
      <c r="Z10" s="68">
        <f t="shared" si="1"/>
        <v>0</v>
      </c>
      <c r="AA10" s="472"/>
    </row>
    <row r="11" spans="1:27" ht="13.5">
      <c r="A11" s="12"/>
      <c r="B11" s="13" t="s">
        <v>8</v>
      </c>
      <c r="C11" s="29" t="s">
        <v>249</v>
      </c>
      <c r="D11" s="14" t="s">
        <v>52</v>
      </c>
      <c r="E11" s="69">
        <f>4!G101</f>
        <v>0</v>
      </c>
      <c r="F11" s="69">
        <f>4!H101</f>
        <v>0</v>
      </c>
      <c r="G11" s="69">
        <f>4!I101</f>
        <v>0</v>
      </c>
      <c r="H11" s="69">
        <f>4!J101</f>
        <v>0</v>
      </c>
      <c r="I11" s="69">
        <f>4!K101</f>
        <v>0</v>
      </c>
      <c r="J11" s="69">
        <f>4!L101</f>
        <v>0</v>
      </c>
      <c r="K11" s="69">
        <f>4!M101</f>
        <v>0</v>
      </c>
      <c r="L11" s="69">
        <f>4!N101</f>
        <v>0</v>
      </c>
      <c r="M11" s="69">
        <f>4!O101</f>
        <v>0</v>
      </c>
      <c r="N11" s="69">
        <f>4!P101</f>
        <v>0</v>
      </c>
      <c r="O11" s="69">
        <f>4!Q101</f>
        <v>0</v>
      </c>
      <c r="P11" s="69">
        <f>4!R101</f>
        <v>0</v>
      </c>
      <c r="Q11" s="69">
        <f>4!S101</f>
        <v>0</v>
      </c>
      <c r="R11" s="69">
        <f>4!T101</f>
        <v>0</v>
      </c>
      <c r="S11" s="69">
        <f>4!U101</f>
        <v>0</v>
      </c>
      <c r="T11" s="69">
        <f>4!V101</f>
        <v>0</v>
      </c>
      <c r="U11" s="69">
        <f>4!W101</f>
        <v>0</v>
      </c>
      <c r="V11" s="69">
        <f>4!X101</f>
        <v>0</v>
      </c>
      <c r="W11" s="69">
        <f>4!Y101</f>
        <v>0</v>
      </c>
      <c r="X11" s="69">
        <f>4!Z101</f>
        <v>0</v>
      </c>
      <c r="Y11" s="69">
        <f>4!AA101</f>
        <v>0</v>
      </c>
      <c r="Z11" s="68">
        <f t="shared" si="1"/>
        <v>0</v>
      </c>
      <c r="AA11" s="472"/>
    </row>
    <row r="12" spans="1:27" ht="13.5">
      <c r="A12" s="12"/>
      <c r="B12" s="13" t="s">
        <v>9</v>
      </c>
      <c r="C12" s="14" t="s">
        <v>590</v>
      </c>
      <c r="D12" s="14" t="s">
        <v>52</v>
      </c>
      <c r="E12" s="69">
        <f>5!G6</f>
        <v>0</v>
      </c>
      <c r="F12" s="69">
        <f>5!H6</f>
        <v>0</v>
      </c>
      <c r="G12" s="69">
        <f>5!I6</f>
        <v>0</v>
      </c>
      <c r="H12" s="69">
        <f>5!J6</f>
        <v>0</v>
      </c>
      <c r="I12" s="69">
        <f>5!K6</f>
        <v>0</v>
      </c>
      <c r="J12" s="69">
        <f>5!L6</f>
        <v>0</v>
      </c>
      <c r="K12" s="69">
        <f>5!M6</f>
        <v>0</v>
      </c>
      <c r="L12" s="69">
        <f>5!N6</f>
        <v>0</v>
      </c>
      <c r="M12" s="69">
        <f>5!O6</f>
        <v>0</v>
      </c>
      <c r="N12" s="69">
        <f>5!P6</f>
        <v>0</v>
      </c>
      <c r="O12" s="69">
        <f>5!Q6</f>
        <v>0</v>
      </c>
      <c r="P12" s="69">
        <f>5!R6</f>
        <v>0</v>
      </c>
      <c r="Q12" s="69">
        <f>5!S6</f>
        <v>0</v>
      </c>
      <c r="R12" s="69">
        <f>5!T6</f>
        <v>0</v>
      </c>
      <c r="S12" s="69">
        <f>5!U6</f>
        <v>0</v>
      </c>
      <c r="T12" s="69">
        <f>5!V6</f>
        <v>0</v>
      </c>
      <c r="U12" s="69">
        <f>5!W6</f>
        <v>0</v>
      </c>
      <c r="V12" s="69">
        <f>5!X6</f>
        <v>0</v>
      </c>
      <c r="W12" s="69">
        <f>5!Y6</f>
        <v>0</v>
      </c>
      <c r="X12" s="69">
        <f>5!Z6</f>
        <v>0</v>
      </c>
      <c r="Y12" s="69">
        <f>5!AA6</f>
        <v>0</v>
      </c>
      <c r="Z12" s="68">
        <f t="shared" si="1"/>
        <v>0</v>
      </c>
      <c r="AA12" s="472"/>
    </row>
    <row r="13" spans="1:27" ht="13.5">
      <c r="A13" s="12"/>
      <c r="B13" s="13" t="s">
        <v>602</v>
      </c>
      <c r="C13" s="14" t="s">
        <v>699</v>
      </c>
      <c r="D13" s="14" t="s">
        <v>52</v>
      </c>
      <c r="E13" s="69">
        <f>6!G42</f>
        <v>0</v>
      </c>
      <c r="F13" s="69">
        <f>6!H42</f>
        <v>0</v>
      </c>
      <c r="G13" s="69">
        <f>6!I42</f>
        <v>0</v>
      </c>
      <c r="H13" s="69">
        <f>6!J42</f>
        <v>0</v>
      </c>
      <c r="I13" s="69">
        <f>6!K42</f>
        <v>0</v>
      </c>
      <c r="J13" s="69">
        <f>6!L42</f>
        <v>0</v>
      </c>
      <c r="K13" s="69">
        <f>6!M42</f>
        <v>0</v>
      </c>
      <c r="L13" s="69">
        <f>6!N42</f>
        <v>0</v>
      </c>
      <c r="M13" s="69">
        <f>6!O42</f>
        <v>0</v>
      </c>
      <c r="N13" s="69">
        <f>6!P42</f>
        <v>0</v>
      </c>
      <c r="O13" s="69">
        <f>6!Q42</f>
        <v>0</v>
      </c>
      <c r="P13" s="69">
        <f>6!R42</f>
        <v>0</v>
      </c>
      <c r="Q13" s="69">
        <f>6!S42</f>
        <v>0</v>
      </c>
      <c r="R13" s="69">
        <f>6!T42</f>
        <v>0</v>
      </c>
      <c r="S13" s="69">
        <f>6!U42</f>
        <v>0</v>
      </c>
      <c r="T13" s="69">
        <f>6!V42</f>
        <v>0</v>
      </c>
      <c r="U13" s="69">
        <f>6!W42</f>
        <v>0</v>
      </c>
      <c r="V13" s="69">
        <f>6!X42</f>
        <v>0</v>
      </c>
      <c r="W13" s="69">
        <f>6!Y42</f>
        <v>0</v>
      </c>
      <c r="X13" s="69">
        <f>6!Z42</f>
        <v>0</v>
      </c>
      <c r="Y13" s="69">
        <f>6!AA42</f>
        <v>0</v>
      </c>
      <c r="Z13" s="68">
        <f t="shared" si="1"/>
        <v>0</v>
      </c>
      <c r="AA13" s="472"/>
    </row>
    <row r="14" spans="1:27" ht="13.5">
      <c r="A14" s="12"/>
      <c r="B14" s="13" t="s">
        <v>698</v>
      </c>
      <c r="C14" s="14" t="s">
        <v>697</v>
      </c>
      <c r="D14" s="14" t="s">
        <v>52</v>
      </c>
      <c r="E14" s="69">
        <f>7!G16</f>
        <v>0</v>
      </c>
      <c r="F14" s="69">
        <f>7!H16</f>
        <v>0</v>
      </c>
      <c r="G14" s="69">
        <f>7!I16</f>
        <v>0</v>
      </c>
      <c r="H14" s="69">
        <f>7!J16</f>
        <v>0</v>
      </c>
      <c r="I14" s="69">
        <f>7!K16</f>
        <v>0</v>
      </c>
      <c r="J14" s="69">
        <f>7!L16</f>
        <v>0</v>
      </c>
      <c r="K14" s="69">
        <f>7!M16</f>
        <v>0</v>
      </c>
      <c r="L14" s="69">
        <f>7!N16</f>
        <v>0</v>
      </c>
      <c r="M14" s="69">
        <f>7!O16</f>
        <v>0</v>
      </c>
      <c r="N14" s="69">
        <f>7!P16</f>
        <v>0</v>
      </c>
      <c r="O14" s="69">
        <f>7!Q16</f>
        <v>0</v>
      </c>
      <c r="P14" s="69">
        <f>7!R16</f>
        <v>0</v>
      </c>
      <c r="Q14" s="69">
        <f>7!S16</f>
        <v>0</v>
      </c>
      <c r="R14" s="69">
        <f>7!T16</f>
        <v>0</v>
      </c>
      <c r="S14" s="69">
        <f>7!U16</f>
        <v>0</v>
      </c>
      <c r="T14" s="69">
        <f>7!V16</f>
        <v>0</v>
      </c>
      <c r="U14" s="69">
        <f>7!W16</f>
        <v>0</v>
      </c>
      <c r="V14" s="69">
        <f>7!X16</f>
        <v>0</v>
      </c>
      <c r="W14" s="69">
        <f>7!Y16</f>
        <v>0</v>
      </c>
      <c r="X14" s="69">
        <f>7!Z16</f>
        <v>0</v>
      </c>
      <c r="Y14" s="69">
        <f>7!AA16</f>
        <v>0</v>
      </c>
      <c r="Z14" s="68">
        <f t="shared" si="1"/>
        <v>0</v>
      </c>
      <c r="AA14" s="472"/>
    </row>
    <row r="15" spans="1:27" ht="13.5">
      <c r="A15" s="179"/>
      <c r="B15" s="180">
        <v>2</v>
      </c>
      <c r="C15" s="180" t="s">
        <v>35</v>
      </c>
      <c r="D15" s="180" t="s">
        <v>52</v>
      </c>
      <c r="E15" s="66">
        <f aca="true" t="shared" si="2" ref="E15:X15">SUM(E16:E18)</f>
        <v>0</v>
      </c>
      <c r="F15" s="66">
        <f t="shared" si="2"/>
        <v>0</v>
      </c>
      <c r="G15" s="66">
        <f t="shared" si="2"/>
        <v>0</v>
      </c>
      <c r="H15" s="66">
        <f t="shared" si="2"/>
        <v>0</v>
      </c>
      <c r="I15" s="66">
        <f t="shared" si="2"/>
        <v>0</v>
      </c>
      <c r="J15" s="66">
        <f t="shared" si="2"/>
        <v>0</v>
      </c>
      <c r="K15" s="66">
        <f t="shared" si="2"/>
        <v>0</v>
      </c>
      <c r="L15" s="66">
        <f t="shared" si="2"/>
        <v>0</v>
      </c>
      <c r="M15" s="66">
        <f t="shared" si="2"/>
        <v>0</v>
      </c>
      <c r="N15" s="66">
        <f t="shared" si="2"/>
        <v>0</v>
      </c>
      <c r="O15" s="66">
        <f t="shared" si="2"/>
        <v>0</v>
      </c>
      <c r="P15" s="66">
        <f t="shared" si="2"/>
        <v>0</v>
      </c>
      <c r="Q15" s="66">
        <f t="shared" si="2"/>
        <v>0</v>
      </c>
      <c r="R15" s="66">
        <f t="shared" si="2"/>
        <v>0</v>
      </c>
      <c r="S15" s="66">
        <f t="shared" si="2"/>
        <v>0</v>
      </c>
      <c r="T15" s="66">
        <f t="shared" si="2"/>
        <v>0</v>
      </c>
      <c r="U15" s="66">
        <f t="shared" si="2"/>
        <v>0</v>
      </c>
      <c r="V15" s="66">
        <f t="shared" si="2"/>
        <v>0</v>
      </c>
      <c r="W15" s="66">
        <f t="shared" si="2"/>
        <v>0</v>
      </c>
      <c r="X15" s="66">
        <f t="shared" si="2"/>
        <v>0</v>
      </c>
      <c r="Y15" s="71">
        <f>SUM(Y16:Y18)</f>
        <v>0</v>
      </c>
      <c r="Z15" s="68">
        <f t="shared" si="1"/>
        <v>0</v>
      </c>
      <c r="AA15" s="472"/>
    </row>
    <row r="16" spans="1:26" ht="13.5">
      <c r="A16" s="12"/>
      <c r="B16" s="13" t="s">
        <v>12</v>
      </c>
      <c r="C16" s="14" t="s">
        <v>2</v>
      </c>
      <c r="D16" s="14" t="s">
        <v>52</v>
      </c>
      <c r="E16" s="193"/>
      <c r="F16" s="193"/>
      <c r="G16" s="193"/>
      <c r="H16" s="193"/>
      <c r="I16" s="193"/>
      <c r="J16" s="193"/>
      <c r="K16" s="193"/>
      <c r="L16" s="193"/>
      <c r="M16" s="193"/>
      <c r="N16" s="193"/>
      <c r="O16" s="193"/>
      <c r="P16" s="193"/>
      <c r="Q16" s="193"/>
      <c r="R16" s="193"/>
      <c r="S16" s="193"/>
      <c r="T16" s="193"/>
      <c r="U16" s="193"/>
      <c r="V16" s="193"/>
      <c r="W16" s="193"/>
      <c r="X16" s="193"/>
      <c r="Y16" s="194"/>
      <c r="Z16" s="68">
        <f t="shared" si="1"/>
        <v>0</v>
      </c>
    </row>
    <row r="17" spans="1:26" ht="13.5">
      <c r="A17" s="12"/>
      <c r="B17" s="13" t="s">
        <v>14</v>
      </c>
      <c r="C17" s="14" t="s">
        <v>6</v>
      </c>
      <c r="D17" s="14" t="s">
        <v>52</v>
      </c>
      <c r="E17" s="193"/>
      <c r="F17" s="193"/>
      <c r="G17" s="193"/>
      <c r="H17" s="193"/>
      <c r="I17" s="193"/>
      <c r="J17" s="193"/>
      <c r="K17" s="193"/>
      <c r="L17" s="193"/>
      <c r="M17" s="193"/>
      <c r="N17" s="193"/>
      <c r="O17" s="193"/>
      <c r="P17" s="193"/>
      <c r="Q17" s="193"/>
      <c r="R17" s="193"/>
      <c r="S17" s="193"/>
      <c r="T17" s="193"/>
      <c r="U17" s="193"/>
      <c r="V17" s="193"/>
      <c r="W17" s="193"/>
      <c r="X17" s="193"/>
      <c r="Y17" s="194"/>
      <c r="Z17" s="68">
        <f t="shared" si="1"/>
        <v>0</v>
      </c>
    </row>
    <row r="18" spans="1:26" ht="13.5">
      <c r="A18" s="12"/>
      <c r="B18" s="13" t="s">
        <v>17</v>
      </c>
      <c r="C18" s="14" t="s">
        <v>10</v>
      </c>
      <c r="D18" s="14" t="s">
        <v>52</v>
      </c>
      <c r="E18" s="69"/>
      <c r="F18" s="69"/>
      <c r="G18" s="69"/>
      <c r="H18" s="69"/>
      <c r="I18" s="69"/>
      <c r="J18" s="69"/>
      <c r="K18" s="69"/>
      <c r="L18" s="69"/>
      <c r="M18" s="69"/>
      <c r="N18" s="69"/>
      <c r="O18" s="69"/>
      <c r="P18" s="69"/>
      <c r="Q18" s="69"/>
      <c r="R18" s="69"/>
      <c r="S18" s="69"/>
      <c r="T18" s="69"/>
      <c r="U18" s="69"/>
      <c r="V18" s="69"/>
      <c r="W18" s="69"/>
      <c r="X18" s="69"/>
      <c r="Y18" s="70" t="str">
        <f>Dati!I13</f>
        <v>-</v>
      </c>
      <c r="Z18" s="68">
        <f t="shared" si="1"/>
        <v>0</v>
      </c>
    </row>
    <row r="19" spans="1:26" ht="13.5">
      <c r="A19" s="179"/>
      <c r="B19" s="180">
        <v>3</v>
      </c>
      <c r="C19" s="180" t="s">
        <v>36</v>
      </c>
      <c r="D19" s="180" t="s">
        <v>52</v>
      </c>
      <c r="E19" s="66">
        <f aca="true" t="shared" si="3" ref="E19:X19">E15+E7</f>
        <v>0</v>
      </c>
      <c r="F19" s="66">
        <f t="shared" si="3"/>
        <v>0</v>
      </c>
      <c r="G19" s="66">
        <f t="shared" si="3"/>
        <v>0</v>
      </c>
      <c r="H19" s="66">
        <f t="shared" si="3"/>
        <v>0</v>
      </c>
      <c r="I19" s="66">
        <f t="shared" si="3"/>
        <v>0</v>
      </c>
      <c r="J19" s="66">
        <f t="shared" si="3"/>
        <v>0</v>
      </c>
      <c r="K19" s="66">
        <f t="shared" si="3"/>
        <v>0</v>
      </c>
      <c r="L19" s="66">
        <f t="shared" si="3"/>
        <v>0</v>
      </c>
      <c r="M19" s="66">
        <f t="shared" si="3"/>
        <v>0</v>
      </c>
      <c r="N19" s="66">
        <f t="shared" si="3"/>
        <v>0</v>
      </c>
      <c r="O19" s="66">
        <f t="shared" si="3"/>
        <v>0</v>
      </c>
      <c r="P19" s="66">
        <f t="shared" si="3"/>
        <v>0</v>
      </c>
      <c r="Q19" s="66">
        <f t="shared" si="3"/>
        <v>0</v>
      </c>
      <c r="R19" s="66">
        <f t="shared" si="3"/>
        <v>0</v>
      </c>
      <c r="S19" s="66">
        <f t="shared" si="3"/>
        <v>0</v>
      </c>
      <c r="T19" s="66">
        <f t="shared" si="3"/>
        <v>0</v>
      </c>
      <c r="U19" s="66">
        <f t="shared" si="3"/>
        <v>0</v>
      </c>
      <c r="V19" s="66">
        <f t="shared" si="3"/>
        <v>0</v>
      </c>
      <c r="W19" s="66">
        <f t="shared" si="3"/>
        <v>0</v>
      </c>
      <c r="X19" s="66">
        <f t="shared" si="3"/>
        <v>0</v>
      </c>
      <c r="Y19" s="71">
        <f>Y15+Y7</f>
        <v>0</v>
      </c>
      <c r="Z19" s="68">
        <f t="shared" si="1"/>
        <v>0</v>
      </c>
    </row>
    <row r="20" spans="1:26" ht="13.5">
      <c r="A20" s="179"/>
      <c r="B20" s="180">
        <v>4</v>
      </c>
      <c r="C20" s="180" t="s">
        <v>25</v>
      </c>
      <c r="D20" s="180" t="s">
        <v>52</v>
      </c>
      <c r="E20" s="66">
        <f aca="true" t="shared" si="4" ref="E20:X20">SUM(E21:E23)</f>
        <v>0</v>
      </c>
      <c r="F20" s="66">
        <f t="shared" si="4"/>
        <v>0</v>
      </c>
      <c r="G20" s="66">
        <f t="shared" si="4"/>
        <v>0</v>
      </c>
      <c r="H20" s="66">
        <f t="shared" si="4"/>
        <v>0</v>
      </c>
      <c r="I20" s="66">
        <f t="shared" si="4"/>
        <v>0</v>
      </c>
      <c r="J20" s="66">
        <f t="shared" si="4"/>
        <v>0</v>
      </c>
      <c r="K20" s="66">
        <f t="shared" si="4"/>
        <v>0</v>
      </c>
      <c r="L20" s="66">
        <f t="shared" si="4"/>
        <v>0</v>
      </c>
      <c r="M20" s="66">
        <f t="shared" si="4"/>
        <v>0</v>
      </c>
      <c r="N20" s="66">
        <f t="shared" si="4"/>
        <v>0</v>
      </c>
      <c r="O20" s="66">
        <f t="shared" si="4"/>
        <v>0</v>
      </c>
      <c r="P20" s="66">
        <f t="shared" si="4"/>
        <v>0</v>
      </c>
      <c r="Q20" s="66">
        <f t="shared" si="4"/>
        <v>0</v>
      </c>
      <c r="R20" s="66">
        <f t="shared" si="4"/>
        <v>0</v>
      </c>
      <c r="S20" s="66">
        <f t="shared" si="4"/>
        <v>0</v>
      </c>
      <c r="T20" s="66">
        <f t="shared" si="4"/>
        <v>0</v>
      </c>
      <c r="U20" s="66">
        <f t="shared" si="4"/>
        <v>0</v>
      </c>
      <c r="V20" s="66">
        <f t="shared" si="4"/>
        <v>0</v>
      </c>
      <c r="W20" s="66">
        <f t="shared" si="4"/>
        <v>0</v>
      </c>
      <c r="X20" s="66">
        <f t="shared" si="4"/>
        <v>0</v>
      </c>
      <c r="Y20" s="71">
        <f>SUM(Y21:Y23)</f>
        <v>0</v>
      </c>
      <c r="Z20" s="68">
        <f t="shared" si="1"/>
        <v>0</v>
      </c>
    </row>
    <row r="21" spans="1:26" ht="13.5">
      <c r="A21" s="12">
        <v>7</v>
      </c>
      <c r="B21" s="13" t="s">
        <v>26</v>
      </c>
      <c r="C21" s="14" t="s">
        <v>683</v>
      </c>
      <c r="D21" s="14" t="s">
        <v>52</v>
      </c>
      <c r="E21" s="69">
        <f>-A!G40</f>
        <v>0</v>
      </c>
      <c r="F21" s="69">
        <f>A!H40</f>
        <v>0</v>
      </c>
      <c r="G21" s="69">
        <f>A!I40</f>
        <v>0</v>
      </c>
      <c r="H21" s="69">
        <f>A!J40</f>
        <v>0</v>
      </c>
      <c r="I21" s="69">
        <f>A!K40</f>
        <v>0</v>
      </c>
      <c r="J21" s="69">
        <f>A!L40</f>
        <v>0</v>
      </c>
      <c r="K21" s="69">
        <f>A!M40</f>
        <v>0</v>
      </c>
      <c r="L21" s="69">
        <f>A!N40</f>
        <v>0</v>
      </c>
      <c r="M21" s="69">
        <f>A!O40</f>
        <v>0</v>
      </c>
      <c r="N21" s="69">
        <f>A!P40</f>
        <v>0</v>
      </c>
      <c r="O21" s="69">
        <f>A!Q40</f>
        <v>0</v>
      </c>
      <c r="P21" s="69">
        <f>A!R40</f>
        <v>0</v>
      </c>
      <c r="Q21" s="69">
        <f>A!S40</f>
        <v>0</v>
      </c>
      <c r="R21" s="69">
        <f>A!T40</f>
        <v>0</v>
      </c>
      <c r="S21" s="69">
        <f>A!U40</f>
        <v>0</v>
      </c>
      <c r="T21" s="69">
        <f>A!V40</f>
        <v>0</v>
      </c>
      <c r="U21" s="69">
        <f>A!W40</f>
        <v>0</v>
      </c>
      <c r="V21" s="69">
        <f>A!X40</f>
        <v>0</v>
      </c>
      <c r="W21" s="69">
        <f>A!Y40</f>
        <v>0</v>
      </c>
      <c r="X21" s="69">
        <f>A!Z40</f>
        <v>0</v>
      </c>
      <c r="Y21" s="69">
        <f>A!AA40</f>
        <v>0</v>
      </c>
      <c r="Z21" s="68">
        <f t="shared" si="1"/>
        <v>0</v>
      </c>
    </row>
    <row r="22" spans="1:26" ht="13.5">
      <c r="A22" s="12"/>
      <c r="B22" s="13" t="s">
        <v>27</v>
      </c>
      <c r="C22" s="14"/>
      <c r="D22" s="14" t="s">
        <v>52</v>
      </c>
      <c r="E22" s="69"/>
      <c r="F22" s="69"/>
      <c r="G22" s="69"/>
      <c r="H22" s="69"/>
      <c r="I22" s="69"/>
      <c r="J22" s="69"/>
      <c r="K22" s="69"/>
      <c r="L22" s="69"/>
      <c r="M22" s="69"/>
      <c r="N22" s="69"/>
      <c r="O22" s="69"/>
      <c r="P22" s="69"/>
      <c r="Q22" s="69"/>
      <c r="R22" s="69"/>
      <c r="S22" s="69"/>
      <c r="T22" s="69"/>
      <c r="U22" s="69"/>
      <c r="V22" s="69"/>
      <c r="W22" s="69"/>
      <c r="X22" s="69"/>
      <c r="Y22" s="70"/>
      <c r="Z22" s="68">
        <f t="shared" si="1"/>
        <v>0</v>
      </c>
    </row>
    <row r="23" spans="1:26" ht="13.5">
      <c r="A23" s="12"/>
      <c r="B23" s="13" t="s">
        <v>28</v>
      </c>
      <c r="C23" s="14"/>
      <c r="D23" s="14" t="s">
        <v>52</v>
      </c>
      <c r="E23" s="69"/>
      <c r="F23" s="69"/>
      <c r="G23" s="69"/>
      <c r="H23" s="69"/>
      <c r="I23" s="69"/>
      <c r="J23" s="69"/>
      <c r="K23" s="69"/>
      <c r="L23" s="69"/>
      <c r="M23" s="69"/>
      <c r="N23" s="69"/>
      <c r="O23" s="69"/>
      <c r="P23" s="69"/>
      <c r="Q23" s="69"/>
      <c r="R23" s="69"/>
      <c r="S23" s="69"/>
      <c r="T23" s="69"/>
      <c r="U23" s="69"/>
      <c r="V23" s="69"/>
      <c r="W23" s="69"/>
      <c r="X23" s="69"/>
      <c r="Y23" s="70"/>
      <c r="Z23" s="68">
        <f t="shared" si="1"/>
        <v>0</v>
      </c>
    </row>
    <row r="24" spans="1:26" ht="13.5">
      <c r="A24" s="179"/>
      <c r="B24" s="180">
        <v>5</v>
      </c>
      <c r="C24" s="180" t="s">
        <v>37</v>
      </c>
      <c r="D24" s="180" t="s">
        <v>52</v>
      </c>
      <c r="E24" s="66">
        <f aca="true" t="shared" si="5" ref="E24:X24">SUM(E25:E26)</f>
        <v>0</v>
      </c>
      <c r="F24" s="66">
        <f t="shared" si="5"/>
        <v>0</v>
      </c>
      <c r="G24" s="66">
        <f t="shared" si="5"/>
        <v>0</v>
      </c>
      <c r="H24" s="66">
        <f t="shared" si="5"/>
        <v>0</v>
      </c>
      <c r="I24" s="66">
        <f t="shared" si="5"/>
        <v>0</v>
      </c>
      <c r="J24" s="66">
        <f t="shared" si="5"/>
        <v>0</v>
      </c>
      <c r="K24" s="66">
        <f t="shared" si="5"/>
        <v>0</v>
      </c>
      <c r="L24" s="66">
        <f t="shared" si="5"/>
        <v>0</v>
      </c>
      <c r="M24" s="66">
        <f t="shared" si="5"/>
        <v>0</v>
      </c>
      <c r="N24" s="66">
        <f t="shared" si="5"/>
        <v>0</v>
      </c>
      <c r="O24" s="66">
        <f t="shared" si="5"/>
        <v>0</v>
      </c>
      <c r="P24" s="66">
        <f t="shared" si="5"/>
        <v>0</v>
      </c>
      <c r="Q24" s="66">
        <f t="shared" si="5"/>
        <v>0</v>
      </c>
      <c r="R24" s="66">
        <f t="shared" si="5"/>
        <v>0</v>
      </c>
      <c r="S24" s="66">
        <f t="shared" si="5"/>
        <v>0</v>
      </c>
      <c r="T24" s="66">
        <f t="shared" si="5"/>
        <v>0</v>
      </c>
      <c r="U24" s="66">
        <f t="shared" si="5"/>
        <v>0</v>
      </c>
      <c r="V24" s="66">
        <f t="shared" si="5"/>
        <v>0</v>
      </c>
      <c r="W24" s="66">
        <f t="shared" si="5"/>
        <v>0</v>
      </c>
      <c r="X24" s="66">
        <f t="shared" si="5"/>
        <v>0</v>
      </c>
      <c r="Y24" s="71">
        <f>SUM(Y25:Y26)</f>
        <v>0</v>
      </c>
      <c r="Z24" s="68">
        <f t="shared" si="1"/>
        <v>0</v>
      </c>
    </row>
    <row r="25" spans="1:26" ht="13.5">
      <c r="A25" s="12"/>
      <c r="B25" s="13" t="s">
        <v>38</v>
      </c>
      <c r="C25" s="14" t="s">
        <v>1</v>
      </c>
      <c r="D25" s="14" t="s">
        <v>52</v>
      </c>
      <c r="E25" s="193"/>
      <c r="F25" s="193"/>
      <c r="G25" s="193"/>
      <c r="H25" s="193"/>
      <c r="I25" s="193"/>
      <c r="J25" s="193"/>
      <c r="K25" s="193"/>
      <c r="L25" s="193"/>
      <c r="M25" s="193"/>
      <c r="N25" s="193"/>
      <c r="O25" s="193"/>
      <c r="P25" s="193"/>
      <c r="Q25" s="193"/>
      <c r="R25" s="193"/>
      <c r="S25" s="193"/>
      <c r="T25" s="193"/>
      <c r="U25" s="193"/>
      <c r="V25" s="193"/>
      <c r="W25" s="193"/>
      <c r="X25" s="193"/>
      <c r="Y25" s="193"/>
      <c r="Z25" s="68">
        <f t="shared" si="1"/>
        <v>0</v>
      </c>
    </row>
    <row r="26" spans="1:26" ht="13.5">
      <c r="A26" s="12"/>
      <c r="B26" s="13" t="s">
        <v>39</v>
      </c>
      <c r="C26" s="1" t="s">
        <v>0</v>
      </c>
      <c r="D26" s="14" t="s">
        <v>52</v>
      </c>
      <c r="E26" s="69">
        <f>-Dati!C10</f>
        <v>0</v>
      </c>
      <c r="F26" s="69">
        <f>-Dati!D10</f>
        <v>0</v>
      </c>
      <c r="G26" s="69">
        <f>-Dati!E10</f>
        <v>0</v>
      </c>
      <c r="H26" s="69">
        <f>-Dati!F10</f>
        <v>0</v>
      </c>
      <c r="I26" s="69">
        <f>-Dati!G10</f>
        <v>0</v>
      </c>
      <c r="J26" s="69">
        <f>-Dati!H10</f>
        <v>0</v>
      </c>
      <c r="K26" s="69">
        <f>-Dati!I10</f>
        <v>0</v>
      </c>
      <c r="L26" s="69">
        <f>-Dati!J10</f>
        <v>0</v>
      </c>
      <c r="M26" s="69">
        <f>-Dati!K10</f>
        <v>0</v>
      </c>
      <c r="N26" s="69">
        <f>-Dati!L10</f>
        <v>0</v>
      </c>
      <c r="O26" s="69">
        <f>-Dati!M10</f>
        <v>0</v>
      </c>
      <c r="P26" s="69">
        <f>-Dati!N10</f>
        <v>0</v>
      </c>
      <c r="Q26" s="69">
        <f>-Dati!O10</f>
        <v>0</v>
      </c>
      <c r="R26" s="69">
        <f>-Dati!P10</f>
        <v>0</v>
      </c>
      <c r="S26" s="69">
        <f>-Dati!Q10</f>
        <v>0</v>
      </c>
      <c r="T26" s="69">
        <f>-Dati!R10</f>
        <v>0</v>
      </c>
      <c r="U26" s="69">
        <f>-Dati!S10</f>
        <v>0</v>
      </c>
      <c r="V26" s="69">
        <f>-Dati!T10</f>
        <v>0</v>
      </c>
      <c r="W26" s="69">
        <f>-Dati!U10</f>
        <v>0</v>
      </c>
      <c r="X26" s="69">
        <f>-Dati!V10</f>
        <v>0</v>
      </c>
      <c r="Y26" s="69">
        <f>-Dati!W10</f>
        <v>0</v>
      </c>
      <c r="Z26" s="68">
        <f t="shared" si="1"/>
        <v>0</v>
      </c>
    </row>
    <row r="27" spans="1:26" ht="13.5">
      <c r="A27" s="179"/>
      <c r="B27" s="180">
        <v>6</v>
      </c>
      <c r="C27" s="180" t="s">
        <v>22</v>
      </c>
      <c r="D27" s="181" t="s">
        <v>52</v>
      </c>
      <c r="E27" s="72">
        <f aca="true" t="shared" si="6" ref="E27:X27">SUM(E28:E30)</f>
        <v>0</v>
      </c>
      <c r="F27" s="72">
        <f t="shared" si="6"/>
        <v>0</v>
      </c>
      <c r="G27" s="72">
        <f t="shared" si="6"/>
        <v>0</v>
      </c>
      <c r="H27" s="72">
        <f t="shared" si="6"/>
        <v>0</v>
      </c>
      <c r="I27" s="72">
        <f t="shared" si="6"/>
        <v>0</v>
      </c>
      <c r="J27" s="72">
        <f t="shared" si="6"/>
        <v>0</v>
      </c>
      <c r="K27" s="72">
        <f t="shared" si="6"/>
        <v>0</v>
      </c>
      <c r="L27" s="72">
        <f t="shared" si="6"/>
        <v>0</v>
      </c>
      <c r="M27" s="72">
        <f t="shared" si="6"/>
        <v>0</v>
      </c>
      <c r="N27" s="72">
        <f t="shared" si="6"/>
        <v>0</v>
      </c>
      <c r="O27" s="72">
        <f t="shared" si="6"/>
        <v>0</v>
      </c>
      <c r="P27" s="72">
        <f t="shared" si="6"/>
        <v>0</v>
      </c>
      <c r="Q27" s="72">
        <f t="shared" si="6"/>
        <v>0</v>
      </c>
      <c r="R27" s="72">
        <f t="shared" si="6"/>
        <v>0</v>
      </c>
      <c r="S27" s="72">
        <f t="shared" si="6"/>
        <v>0</v>
      </c>
      <c r="T27" s="72">
        <f t="shared" si="6"/>
        <v>0</v>
      </c>
      <c r="U27" s="72">
        <f t="shared" si="6"/>
        <v>0</v>
      </c>
      <c r="V27" s="72">
        <f t="shared" si="6"/>
        <v>0</v>
      </c>
      <c r="W27" s="72">
        <f t="shared" si="6"/>
        <v>0</v>
      </c>
      <c r="X27" s="72">
        <f t="shared" si="6"/>
        <v>0</v>
      </c>
      <c r="Y27" s="73">
        <f>SUM(Y28:Y30)</f>
        <v>0</v>
      </c>
      <c r="Z27" s="68">
        <f t="shared" si="1"/>
        <v>0</v>
      </c>
    </row>
    <row r="28" spans="1:26" ht="13.5">
      <c r="A28" s="12"/>
      <c r="B28" s="13" t="s">
        <v>41</v>
      </c>
      <c r="C28" s="22"/>
      <c r="D28" s="14" t="s">
        <v>52</v>
      </c>
      <c r="E28" s="69"/>
      <c r="F28" s="69"/>
      <c r="G28" s="69"/>
      <c r="H28" s="69"/>
      <c r="I28" s="69"/>
      <c r="J28" s="69"/>
      <c r="K28" s="69"/>
      <c r="L28" s="69"/>
      <c r="M28" s="69"/>
      <c r="N28" s="69"/>
      <c r="O28" s="69"/>
      <c r="P28" s="69"/>
      <c r="Q28" s="69"/>
      <c r="R28" s="69"/>
      <c r="S28" s="69"/>
      <c r="T28" s="69"/>
      <c r="U28" s="69"/>
      <c r="V28" s="69"/>
      <c r="W28" s="69"/>
      <c r="X28" s="69"/>
      <c r="Y28" s="70"/>
      <c r="Z28" s="68">
        <f t="shared" si="1"/>
        <v>0</v>
      </c>
    </row>
    <row r="29" spans="2:26" ht="13.5">
      <c r="B29" s="23" t="s">
        <v>42</v>
      </c>
      <c r="C29" s="22"/>
      <c r="D29" s="14" t="s">
        <v>52</v>
      </c>
      <c r="E29" s="69"/>
      <c r="F29" s="69"/>
      <c r="G29" s="69"/>
      <c r="H29" s="69"/>
      <c r="I29" s="69"/>
      <c r="J29" s="69"/>
      <c r="K29" s="69"/>
      <c r="L29" s="69"/>
      <c r="M29" s="69"/>
      <c r="N29" s="69"/>
      <c r="O29" s="69"/>
      <c r="P29" s="69"/>
      <c r="Q29" s="69"/>
      <c r="R29" s="69"/>
      <c r="S29" s="69"/>
      <c r="T29" s="69"/>
      <c r="U29" s="69"/>
      <c r="V29" s="69"/>
      <c r="W29" s="69"/>
      <c r="X29" s="69"/>
      <c r="Y29" s="70"/>
      <c r="Z29" s="68">
        <f t="shared" si="1"/>
        <v>0</v>
      </c>
    </row>
    <row r="30" spans="2:26" ht="13.5">
      <c r="B30" s="2" t="s">
        <v>43</v>
      </c>
      <c r="C30" s="22"/>
      <c r="D30" s="14" t="s">
        <v>52</v>
      </c>
      <c r="E30" s="69"/>
      <c r="F30" s="69"/>
      <c r="G30" s="69"/>
      <c r="H30" s="69"/>
      <c r="I30" s="69"/>
      <c r="J30" s="69"/>
      <c r="K30" s="69"/>
      <c r="L30" s="69"/>
      <c r="M30" s="69"/>
      <c r="N30" s="69"/>
      <c r="O30" s="69"/>
      <c r="P30" s="69"/>
      <c r="Q30" s="69"/>
      <c r="R30" s="69"/>
      <c r="S30" s="69"/>
      <c r="T30" s="69"/>
      <c r="U30" s="69"/>
      <c r="V30" s="69"/>
      <c r="W30" s="69"/>
      <c r="X30" s="69"/>
      <c r="Y30" s="70"/>
      <c r="Z30" s="68">
        <f t="shared" si="1"/>
        <v>0</v>
      </c>
    </row>
    <row r="31" spans="1:26" ht="13.5">
      <c r="A31" s="179"/>
      <c r="B31" s="180">
        <v>7</v>
      </c>
      <c r="C31" s="180" t="s">
        <v>40</v>
      </c>
      <c r="D31" s="180" t="s">
        <v>52</v>
      </c>
      <c r="E31" s="66">
        <f aca="true" t="shared" si="7" ref="E31:X31">E20+E24+E27</f>
        <v>0</v>
      </c>
      <c r="F31" s="66">
        <f t="shared" si="7"/>
        <v>0</v>
      </c>
      <c r="G31" s="66">
        <f t="shared" si="7"/>
        <v>0</v>
      </c>
      <c r="H31" s="66">
        <f>H20+H24+H27</f>
        <v>0</v>
      </c>
      <c r="I31" s="66">
        <f t="shared" si="7"/>
        <v>0</v>
      </c>
      <c r="J31" s="66">
        <f t="shared" si="7"/>
        <v>0</v>
      </c>
      <c r="K31" s="66">
        <f t="shared" si="7"/>
        <v>0</v>
      </c>
      <c r="L31" s="66">
        <f>L20+L24+L27</f>
        <v>0</v>
      </c>
      <c r="M31" s="66">
        <f t="shared" si="7"/>
        <v>0</v>
      </c>
      <c r="N31" s="66">
        <f t="shared" si="7"/>
        <v>0</v>
      </c>
      <c r="O31" s="66">
        <f t="shared" si="7"/>
        <v>0</v>
      </c>
      <c r="P31" s="66">
        <f t="shared" si="7"/>
        <v>0</v>
      </c>
      <c r="Q31" s="66">
        <f t="shared" si="7"/>
        <v>0</v>
      </c>
      <c r="R31" s="66">
        <f t="shared" si="7"/>
        <v>0</v>
      </c>
      <c r="S31" s="66">
        <f t="shared" si="7"/>
        <v>0</v>
      </c>
      <c r="T31" s="66">
        <f t="shared" si="7"/>
        <v>0</v>
      </c>
      <c r="U31" s="66">
        <f t="shared" si="7"/>
        <v>0</v>
      </c>
      <c r="V31" s="66">
        <f t="shared" si="7"/>
        <v>0</v>
      </c>
      <c r="W31" s="66">
        <f t="shared" si="7"/>
        <v>0</v>
      </c>
      <c r="X31" s="66">
        <f t="shared" si="7"/>
        <v>0</v>
      </c>
      <c r="Y31" s="71">
        <f>Y20+Y24+Y27</f>
        <v>0</v>
      </c>
      <c r="Z31" s="68">
        <f t="shared" si="1"/>
        <v>0</v>
      </c>
    </row>
    <row r="32" spans="1:26" ht="13.5">
      <c r="A32" s="182"/>
      <c r="B32" s="183">
        <v>8</v>
      </c>
      <c r="C32" s="184" t="s">
        <v>30</v>
      </c>
      <c r="D32" s="183" t="s">
        <v>52</v>
      </c>
      <c r="E32" s="185">
        <f>E7+E15+E20+E24+E27</f>
        <v>0</v>
      </c>
      <c r="F32" s="185">
        <f aca="true" t="shared" si="8" ref="F32:X32">F7+F15+F20+F24+F27</f>
        <v>0</v>
      </c>
      <c r="G32" s="185">
        <f t="shared" si="8"/>
        <v>0</v>
      </c>
      <c r="H32" s="185">
        <f t="shared" si="8"/>
        <v>0</v>
      </c>
      <c r="I32" s="185">
        <f t="shared" si="8"/>
        <v>0</v>
      </c>
      <c r="J32" s="185">
        <f t="shared" si="8"/>
        <v>0</v>
      </c>
      <c r="K32" s="185">
        <f t="shared" si="8"/>
        <v>0</v>
      </c>
      <c r="L32" s="185">
        <f t="shared" si="8"/>
        <v>0</v>
      </c>
      <c r="M32" s="185">
        <f t="shared" si="8"/>
        <v>0</v>
      </c>
      <c r="N32" s="185">
        <f t="shared" si="8"/>
        <v>0</v>
      </c>
      <c r="O32" s="185">
        <f t="shared" si="8"/>
        <v>0</v>
      </c>
      <c r="P32" s="185">
        <f t="shared" si="8"/>
        <v>0</v>
      </c>
      <c r="Q32" s="185">
        <f t="shared" si="8"/>
        <v>0</v>
      </c>
      <c r="R32" s="185">
        <f t="shared" si="8"/>
        <v>0</v>
      </c>
      <c r="S32" s="185">
        <f t="shared" si="8"/>
        <v>0</v>
      </c>
      <c r="T32" s="185">
        <f t="shared" si="8"/>
        <v>0</v>
      </c>
      <c r="U32" s="185">
        <f t="shared" si="8"/>
        <v>0</v>
      </c>
      <c r="V32" s="185">
        <f t="shared" si="8"/>
        <v>0</v>
      </c>
      <c r="W32" s="185">
        <f t="shared" si="8"/>
        <v>0</v>
      </c>
      <c r="X32" s="185">
        <f t="shared" si="8"/>
        <v>0</v>
      </c>
      <c r="Y32" s="185">
        <f>Y7+Y15+Y20+Y24+Y27</f>
        <v>0</v>
      </c>
      <c r="Z32" s="186">
        <f t="shared" si="1"/>
        <v>0</v>
      </c>
    </row>
    <row r="33" spans="3:25" ht="13.5">
      <c r="C33" s="2" t="s">
        <v>313</v>
      </c>
      <c r="E33" s="433"/>
      <c r="F33" s="23"/>
      <c r="G33" s="23"/>
      <c r="H33" s="312"/>
      <c r="I33" s="312"/>
      <c r="J33" s="312"/>
      <c r="K33" s="312"/>
      <c r="L33" s="312"/>
      <c r="M33" s="312"/>
      <c r="N33" s="312"/>
      <c r="O33" s="312"/>
      <c r="P33" s="312"/>
      <c r="Q33" s="312"/>
      <c r="R33" s="312"/>
      <c r="S33" s="312"/>
      <c r="T33" s="312"/>
      <c r="U33" s="312"/>
      <c r="V33" s="312"/>
      <c r="W33" s="312"/>
      <c r="X33" s="312"/>
      <c r="Y33" s="312"/>
    </row>
    <row r="35" spans="2:26" ht="13.5">
      <c r="B35" s="46" t="s">
        <v>11</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2:26" ht="13.5">
      <c r="B36" s="43"/>
      <c r="C36" s="43"/>
      <c r="D36" s="42"/>
      <c r="E36" s="43"/>
      <c r="F36" s="43"/>
      <c r="G36" s="43"/>
      <c r="H36" s="43"/>
      <c r="I36" s="43"/>
      <c r="J36" s="43"/>
      <c r="K36" s="43"/>
      <c r="L36" s="43"/>
      <c r="M36" s="43"/>
      <c r="N36" s="43"/>
      <c r="O36" s="43"/>
      <c r="P36" s="43"/>
      <c r="Q36" s="43"/>
      <c r="R36" s="43"/>
      <c r="S36" s="43"/>
      <c r="T36" s="43"/>
      <c r="U36" s="43"/>
      <c r="V36" s="43"/>
      <c r="W36" s="43"/>
      <c r="X36" s="43"/>
      <c r="Y36" s="43"/>
      <c r="Z36" s="43"/>
    </row>
    <row r="37" spans="2:26" ht="13.5">
      <c r="B37" s="43"/>
      <c r="C37" s="48" t="s">
        <v>29</v>
      </c>
      <c r="D37" s="49" t="s">
        <v>13</v>
      </c>
      <c r="E37" s="318">
        <v>0.05</v>
      </c>
      <c r="F37" s="43"/>
      <c r="G37" s="43"/>
      <c r="H37" s="43"/>
      <c r="I37" s="43"/>
      <c r="J37" s="43"/>
      <c r="K37" s="43"/>
      <c r="L37" s="43"/>
      <c r="M37" s="43"/>
      <c r="N37" s="43"/>
      <c r="O37" s="43"/>
      <c r="P37" s="43"/>
      <c r="Q37" s="43"/>
      <c r="R37" s="43"/>
      <c r="S37" s="43"/>
      <c r="T37" s="43"/>
      <c r="U37" s="43"/>
      <c r="V37" s="43"/>
      <c r="W37" s="43"/>
      <c r="X37" s="43"/>
      <c r="Y37" s="43"/>
      <c r="Z37" s="34"/>
    </row>
    <row r="38" spans="2:26" ht="13.5">
      <c r="B38" s="43"/>
      <c r="C38" s="30" t="s">
        <v>15</v>
      </c>
      <c r="D38" s="50" t="s">
        <v>16</v>
      </c>
      <c r="E38" s="31">
        <v>0</v>
      </c>
      <c r="F38" s="31">
        <f aca="true" t="shared" si="9" ref="F38:W38">E38+1</f>
        <v>1</v>
      </c>
      <c r="G38" s="31">
        <f t="shared" si="9"/>
        <v>2</v>
      </c>
      <c r="H38" s="31">
        <f t="shared" si="9"/>
        <v>3</v>
      </c>
      <c r="I38" s="31">
        <f t="shared" si="9"/>
        <v>4</v>
      </c>
      <c r="J38" s="31">
        <f t="shared" si="9"/>
        <v>5</v>
      </c>
      <c r="K38" s="31">
        <f t="shared" si="9"/>
        <v>6</v>
      </c>
      <c r="L38" s="31">
        <f t="shared" si="9"/>
        <v>7</v>
      </c>
      <c r="M38" s="31">
        <f t="shared" si="9"/>
        <v>8</v>
      </c>
      <c r="N38" s="31">
        <f t="shared" si="9"/>
        <v>9</v>
      </c>
      <c r="O38" s="31">
        <f t="shared" si="9"/>
        <v>10</v>
      </c>
      <c r="P38" s="31">
        <f t="shared" si="9"/>
        <v>11</v>
      </c>
      <c r="Q38" s="31">
        <f t="shared" si="9"/>
        <v>12</v>
      </c>
      <c r="R38" s="31">
        <f t="shared" si="9"/>
        <v>13</v>
      </c>
      <c r="S38" s="31">
        <f t="shared" si="9"/>
        <v>14</v>
      </c>
      <c r="T38" s="31">
        <f t="shared" si="9"/>
        <v>15</v>
      </c>
      <c r="U38" s="31">
        <f t="shared" si="9"/>
        <v>16</v>
      </c>
      <c r="V38" s="31">
        <f t="shared" si="9"/>
        <v>17</v>
      </c>
      <c r="W38" s="31">
        <f t="shared" si="9"/>
        <v>18</v>
      </c>
      <c r="X38" s="31">
        <f>W38+1</f>
        <v>19</v>
      </c>
      <c r="Y38" s="31">
        <f>X38+1</f>
        <v>20</v>
      </c>
      <c r="Z38" s="34"/>
    </row>
    <row r="39" spans="2:26" ht="13.5">
      <c r="B39" s="36"/>
      <c r="C39" s="51" t="s">
        <v>18</v>
      </c>
      <c r="D39" s="52" t="s">
        <v>19</v>
      </c>
      <c r="E39" s="62">
        <f aca="true" t="shared" si="10" ref="E39:X39">1/(1+$E$37)^E38</f>
        <v>1</v>
      </c>
      <c r="F39" s="62">
        <f t="shared" si="10"/>
        <v>0.9523809523809523</v>
      </c>
      <c r="G39" s="62">
        <f t="shared" si="10"/>
        <v>0.9070294784580498</v>
      </c>
      <c r="H39" s="62">
        <f t="shared" si="10"/>
        <v>0.863837598531476</v>
      </c>
      <c r="I39" s="62">
        <f t="shared" si="10"/>
        <v>0.822702474791882</v>
      </c>
      <c r="J39" s="62">
        <f t="shared" si="10"/>
        <v>0.783526166468459</v>
      </c>
      <c r="K39" s="62">
        <f t="shared" si="10"/>
        <v>0.7462153966366276</v>
      </c>
      <c r="L39" s="62">
        <f t="shared" si="10"/>
        <v>0.7106813301301215</v>
      </c>
      <c r="M39" s="62">
        <f t="shared" si="10"/>
        <v>0.6768393620286872</v>
      </c>
      <c r="N39" s="62">
        <f t="shared" si="10"/>
        <v>0.6446089162177973</v>
      </c>
      <c r="O39" s="62">
        <f t="shared" si="10"/>
        <v>0.6139132535407593</v>
      </c>
      <c r="P39" s="62">
        <f t="shared" si="10"/>
        <v>0.5846792890864374</v>
      </c>
      <c r="Q39" s="62">
        <f t="shared" si="10"/>
        <v>0.5568374181775595</v>
      </c>
      <c r="R39" s="62">
        <f t="shared" si="10"/>
        <v>0.5303213506452946</v>
      </c>
      <c r="S39" s="62">
        <f t="shared" si="10"/>
        <v>0.5050679529955189</v>
      </c>
      <c r="T39" s="62">
        <f t="shared" si="10"/>
        <v>0.4810170980909702</v>
      </c>
      <c r="U39" s="62">
        <f t="shared" si="10"/>
        <v>0.4581115219914002</v>
      </c>
      <c r="V39" s="62">
        <f t="shared" si="10"/>
        <v>0.43629668761085727</v>
      </c>
      <c r="W39" s="62">
        <f t="shared" si="10"/>
        <v>0.41552065486748313</v>
      </c>
      <c r="X39" s="62">
        <f t="shared" si="10"/>
        <v>0.3957339570166506</v>
      </c>
      <c r="Y39" s="62">
        <f>1/(1+$E$37)^Y38</f>
        <v>0.3768894828730006</v>
      </c>
      <c r="Z39" s="34"/>
    </row>
    <row r="40" spans="2:26" ht="13.5">
      <c r="B40" s="53">
        <v>1</v>
      </c>
      <c r="C40" s="54" t="s">
        <v>44</v>
      </c>
      <c r="D40" s="55" t="s">
        <v>52</v>
      </c>
      <c r="E40" s="32">
        <f aca="true" t="shared" si="11" ref="E40:X40">E39*E7</f>
        <v>0</v>
      </c>
      <c r="F40" s="32">
        <f t="shared" si="11"/>
        <v>0</v>
      </c>
      <c r="G40" s="32">
        <f t="shared" si="11"/>
        <v>0</v>
      </c>
      <c r="H40" s="32">
        <f t="shared" si="11"/>
        <v>0</v>
      </c>
      <c r="I40" s="32">
        <f t="shared" si="11"/>
        <v>0</v>
      </c>
      <c r="J40" s="32">
        <f t="shared" si="11"/>
        <v>0</v>
      </c>
      <c r="K40" s="32">
        <f t="shared" si="11"/>
        <v>0</v>
      </c>
      <c r="L40" s="32">
        <f t="shared" si="11"/>
        <v>0</v>
      </c>
      <c r="M40" s="32">
        <f t="shared" si="11"/>
        <v>0</v>
      </c>
      <c r="N40" s="32">
        <f t="shared" si="11"/>
        <v>0</v>
      </c>
      <c r="O40" s="32">
        <f t="shared" si="11"/>
        <v>0</v>
      </c>
      <c r="P40" s="32">
        <f t="shared" si="11"/>
        <v>0</v>
      </c>
      <c r="Q40" s="32">
        <f t="shared" si="11"/>
        <v>0</v>
      </c>
      <c r="R40" s="32">
        <f t="shared" si="11"/>
        <v>0</v>
      </c>
      <c r="S40" s="32">
        <f t="shared" si="11"/>
        <v>0</v>
      </c>
      <c r="T40" s="32">
        <f t="shared" si="11"/>
        <v>0</v>
      </c>
      <c r="U40" s="32">
        <f t="shared" si="11"/>
        <v>0</v>
      </c>
      <c r="V40" s="32">
        <f t="shared" si="11"/>
        <v>0</v>
      </c>
      <c r="W40" s="32">
        <f t="shared" si="11"/>
        <v>0</v>
      </c>
      <c r="X40" s="42">
        <f t="shared" si="11"/>
        <v>0</v>
      </c>
      <c r="Y40" s="42">
        <f>Y39*Y7</f>
        <v>0</v>
      </c>
      <c r="Z40" s="33">
        <f aca="true" t="shared" si="12" ref="Z40:Z47">SUM(E40:Y40)</f>
        <v>0</v>
      </c>
    </row>
    <row r="41" spans="2:26" ht="13.5">
      <c r="B41" s="39">
        <v>2</v>
      </c>
      <c r="C41" s="40" t="s">
        <v>45</v>
      </c>
      <c r="D41" s="41" t="s">
        <v>52</v>
      </c>
      <c r="E41" s="34">
        <f aca="true" t="shared" si="13" ref="E41:X41">E39*E15</f>
        <v>0</v>
      </c>
      <c r="F41" s="34">
        <f t="shared" si="13"/>
        <v>0</v>
      </c>
      <c r="G41" s="34">
        <f t="shared" si="13"/>
        <v>0</v>
      </c>
      <c r="H41" s="34">
        <f t="shared" si="13"/>
        <v>0</v>
      </c>
      <c r="I41" s="34">
        <f t="shared" si="13"/>
        <v>0</v>
      </c>
      <c r="J41" s="34">
        <f t="shared" si="13"/>
        <v>0</v>
      </c>
      <c r="K41" s="34">
        <f t="shared" si="13"/>
        <v>0</v>
      </c>
      <c r="L41" s="34">
        <f t="shared" si="13"/>
        <v>0</v>
      </c>
      <c r="M41" s="34">
        <f t="shared" si="13"/>
        <v>0</v>
      </c>
      <c r="N41" s="34">
        <f t="shared" si="13"/>
        <v>0</v>
      </c>
      <c r="O41" s="34">
        <f t="shared" si="13"/>
        <v>0</v>
      </c>
      <c r="P41" s="34">
        <f t="shared" si="13"/>
        <v>0</v>
      </c>
      <c r="Q41" s="34">
        <f t="shared" si="13"/>
        <v>0</v>
      </c>
      <c r="R41" s="34">
        <f t="shared" si="13"/>
        <v>0</v>
      </c>
      <c r="S41" s="34">
        <f t="shared" si="13"/>
        <v>0</v>
      </c>
      <c r="T41" s="34">
        <f t="shared" si="13"/>
        <v>0</v>
      </c>
      <c r="U41" s="34">
        <f t="shared" si="13"/>
        <v>0</v>
      </c>
      <c r="V41" s="34">
        <f t="shared" si="13"/>
        <v>0</v>
      </c>
      <c r="W41" s="34">
        <f t="shared" si="13"/>
        <v>0</v>
      </c>
      <c r="X41" s="56">
        <f t="shared" si="13"/>
        <v>0</v>
      </c>
      <c r="Y41" s="56">
        <f>Y39*Y15</f>
        <v>0</v>
      </c>
      <c r="Z41" s="35">
        <f t="shared" si="12"/>
        <v>0</v>
      </c>
    </row>
    <row r="42" spans="2:26" ht="13.5">
      <c r="B42" s="39">
        <v>3</v>
      </c>
      <c r="C42" s="187" t="s">
        <v>50</v>
      </c>
      <c r="D42" s="188" t="s">
        <v>52</v>
      </c>
      <c r="E42" s="189">
        <f aca="true" t="shared" si="14" ref="E42:X42">E39*E19</f>
        <v>0</v>
      </c>
      <c r="F42" s="189">
        <f t="shared" si="14"/>
        <v>0</v>
      </c>
      <c r="G42" s="189">
        <f t="shared" si="14"/>
        <v>0</v>
      </c>
      <c r="H42" s="189">
        <f t="shared" si="14"/>
        <v>0</v>
      </c>
      <c r="I42" s="189">
        <f t="shared" si="14"/>
        <v>0</v>
      </c>
      <c r="J42" s="189">
        <f t="shared" si="14"/>
        <v>0</v>
      </c>
      <c r="K42" s="189">
        <f t="shared" si="14"/>
        <v>0</v>
      </c>
      <c r="L42" s="189">
        <f t="shared" si="14"/>
        <v>0</v>
      </c>
      <c r="M42" s="189">
        <f t="shared" si="14"/>
        <v>0</v>
      </c>
      <c r="N42" s="189">
        <f t="shared" si="14"/>
        <v>0</v>
      </c>
      <c r="O42" s="189">
        <f t="shared" si="14"/>
        <v>0</v>
      </c>
      <c r="P42" s="189">
        <f t="shared" si="14"/>
        <v>0</v>
      </c>
      <c r="Q42" s="189">
        <f t="shared" si="14"/>
        <v>0</v>
      </c>
      <c r="R42" s="189">
        <f t="shared" si="14"/>
        <v>0</v>
      </c>
      <c r="S42" s="189">
        <f t="shared" si="14"/>
        <v>0</v>
      </c>
      <c r="T42" s="189">
        <f t="shared" si="14"/>
        <v>0</v>
      </c>
      <c r="U42" s="189">
        <f t="shared" si="14"/>
        <v>0</v>
      </c>
      <c r="V42" s="189">
        <f t="shared" si="14"/>
        <v>0</v>
      </c>
      <c r="W42" s="189">
        <f t="shared" si="14"/>
        <v>0</v>
      </c>
      <c r="X42" s="190">
        <f t="shared" si="14"/>
        <v>0</v>
      </c>
      <c r="Y42" s="190">
        <f>Y39*Y19</f>
        <v>0</v>
      </c>
      <c r="Z42" s="191">
        <f t="shared" si="12"/>
        <v>0</v>
      </c>
    </row>
    <row r="43" spans="2:26" ht="13.5">
      <c r="B43" s="39">
        <v>4</v>
      </c>
      <c r="C43" s="39" t="s">
        <v>46</v>
      </c>
      <c r="D43" s="41" t="s">
        <v>52</v>
      </c>
      <c r="E43" s="34">
        <f aca="true" t="shared" si="15" ref="E43:X43">E39*E20</f>
        <v>0</v>
      </c>
      <c r="F43" s="34">
        <f t="shared" si="15"/>
        <v>0</v>
      </c>
      <c r="G43" s="34">
        <f t="shared" si="15"/>
        <v>0</v>
      </c>
      <c r="H43" s="34">
        <f t="shared" si="15"/>
        <v>0</v>
      </c>
      <c r="I43" s="34">
        <f t="shared" si="15"/>
        <v>0</v>
      </c>
      <c r="J43" s="34">
        <f t="shared" si="15"/>
        <v>0</v>
      </c>
      <c r="K43" s="34">
        <f t="shared" si="15"/>
        <v>0</v>
      </c>
      <c r="L43" s="34">
        <f t="shared" si="15"/>
        <v>0</v>
      </c>
      <c r="M43" s="34">
        <f t="shared" si="15"/>
        <v>0</v>
      </c>
      <c r="N43" s="34">
        <f t="shared" si="15"/>
        <v>0</v>
      </c>
      <c r="O43" s="34">
        <f t="shared" si="15"/>
        <v>0</v>
      </c>
      <c r="P43" s="34">
        <f t="shared" si="15"/>
        <v>0</v>
      </c>
      <c r="Q43" s="34">
        <f t="shared" si="15"/>
        <v>0</v>
      </c>
      <c r="R43" s="34">
        <f t="shared" si="15"/>
        <v>0</v>
      </c>
      <c r="S43" s="34">
        <f t="shared" si="15"/>
        <v>0</v>
      </c>
      <c r="T43" s="34">
        <f t="shared" si="15"/>
        <v>0</v>
      </c>
      <c r="U43" s="34">
        <f t="shared" si="15"/>
        <v>0</v>
      </c>
      <c r="V43" s="34">
        <f t="shared" si="15"/>
        <v>0</v>
      </c>
      <c r="W43" s="34">
        <f t="shared" si="15"/>
        <v>0</v>
      </c>
      <c r="X43" s="56">
        <f t="shared" si="15"/>
        <v>0</v>
      </c>
      <c r="Y43" s="56">
        <f>Y39*Y20</f>
        <v>0</v>
      </c>
      <c r="Z43" s="35">
        <f t="shared" si="12"/>
        <v>0</v>
      </c>
    </row>
    <row r="44" spans="2:26" ht="13.5">
      <c r="B44" s="39">
        <v>5</v>
      </c>
      <c r="C44" s="39" t="s">
        <v>47</v>
      </c>
      <c r="D44" s="41" t="s">
        <v>52</v>
      </c>
      <c r="E44" s="34">
        <f aca="true" t="shared" si="16" ref="E44:X44">E39*E24</f>
        <v>0</v>
      </c>
      <c r="F44" s="34">
        <f t="shared" si="16"/>
        <v>0</v>
      </c>
      <c r="G44" s="34">
        <f t="shared" si="16"/>
        <v>0</v>
      </c>
      <c r="H44" s="34">
        <f t="shared" si="16"/>
        <v>0</v>
      </c>
      <c r="I44" s="34">
        <f t="shared" si="16"/>
        <v>0</v>
      </c>
      <c r="J44" s="34">
        <f t="shared" si="16"/>
        <v>0</v>
      </c>
      <c r="K44" s="34">
        <f t="shared" si="16"/>
        <v>0</v>
      </c>
      <c r="L44" s="34">
        <f t="shared" si="16"/>
        <v>0</v>
      </c>
      <c r="M44" s="34">
        <f t="shared" si="16"/>
        <v>0</v>
      </c>
      <c r="N44" s="34">
        <f t="shared" si="16"/>
        <v>0</v>
      </c>
      <c r="O44" s="34">
        <f t="shared" si="16"/>
        <v>0</v>
      </c>
      <c r="P44" s="34">
        <f t="shared" si="16"/>
        <v>0</v>
      </c>
      <c r="Q44" s="34">
        <f t="shared" si="16"/>
        <v>0</v>
      </c>
      <c r="R44" s="34">
        <f t="shared" si="16"/>
        <v>0</v>
      </c>
      <c r="S44" s="34">
        <f t="shared" si="16"/>
        <v>0</v>
      </c>
      <c r="T44" s="34">
        <f t="shared" si="16"/>
        <v>0</v>
      </c>
      <c r="U44" s="34">
        <f t="shared" si="16"/>
        <v>0</v>
      </c>
      <c r="V44" s="34">
        <f t="shared" si="16"/>
        <v>0</v>
      </c>
      <c r="W44" s="34">
        <f t="shared" si="16"/>
        <v>0</v>
      </c>
      <c r="X44" s="56">
        <f t="shared" si="16"/>
        <v>0</v>
      </c>
      <c r="Y44" s="56">
        <f>Y39*Y24</f>
        <v>0</v>
      </c>
      <c r="Z44" s="35">
        <f t="shared" si="12"/>
        <v>0</v>
      </c>
    </row>
    <row r="45" spans="2:26" ht="13.5">
      <c r="B45" s="39">
        <v>6</v>
      </c>
      <c r="C45" s="39" t="s">
        <v>48</v>
      </c>
      <c r="D45" s="41" t="s">
        <v>52</v>
      </c>
      <c r="E45" s="34">
        <f aca="true" t="shared" si="17" ref="E45:X45">E39*E27</f>
        <v>0</v>
      </c>
      <c r="F45" s="34">
        <f t="shared" si="17"/>
        <v>0</v>
      </c>
      <c r="G45" s="34">
        <f t="shared" si="17"/>
        <v>0</v>
      </c>
      <c r="H45" s="34">
        <f t="shared" si="17"/>
        <v>0</v>
      </c>
      <c r="I45" s="34">
        <f t="shared" si="17"/>
        <v>0</v>
      </c>
      <c r="J45" s="34">
        <f t="shared" si="17"/>
        <v>0</v>
      </c>
      <c r="K45" s="34">
        <f t="shared" si="17"/>
        <v>0</v>
      </c>
      <c r="L45" s="34">
        <f t="shared" si="17"/>
        <v>0</v>
      </c>
      <c r="M45" s="34">
        <f t="shared" si="17"/>
        <v>0</v>
      </c>
      <c r="N45" s="34">
        <f t="shared" si="17"/>
        <v>0</v>
      </c>
      <c r="O45" s="34">
        <f t="shared" si="17"/>
        <v>0</v>
      </c>
      <c r="P45" s="34">
        <f t="shared" si="17"/>
        <v>0</v>
      </c>
      <c r="Q45" s="34">
        <f t="shared" si="17"/>
        <v>0</v>
      </c>
      <c r="R45" s="34">
        <f t="shared" si="17"/>
        <v>0</v>
      </c>
      <c r="S45" s="34">
        <f t="shared" si="17"/>
        <v>0</v>
      </c>
      <c r="T45" s="34">
        <f t="shared" si="17"/>
        <v>0</v>
      </c>
      <c r="U45" s="34">
        <f t="shared" si="17"/>
        <v>0</v>
      </c>
      <c r="V45" s="34">
        <f t="shared" si="17"/>
        <v>0</v>
      </c>
      <c r="W45" s="34">
        <f t="shared" si="17"/>
        <v>0</v>
      </c>
      <c r="X45" s="56">
        <f t="shared" si="17"/>
        <v>0</v>
      </c>
      <c r="Y45" s="56">
        <f>Y39*Y27</f>
        <v>0</v>
      </c>
      <c r="Z45" s="35">
        <f t="shared" si="12"/>
        <v>0</v>
      </c>
    </row>
    <row r="46" spans="2:26" ht="13.5">
      <c r="B46" s="57">
        <v>7</v>
      </c>
      <c r="C46" s="187" t="s">
        <v>51</v>
      </c>
      <c r="D46" s="188" t="s">
        <v>52</v>
      </c>
      <c r="E46" s="189">
        <f aca="true" t="shared" si="18" ref="E46:X46">E39*E31</f>
        <v>0</v>
      </c>
      <c r="F46" s="189">
        <f t="shared" si="18"/>
        <v>0</v>
      </c>
      <c r="G46" s="189">
        <f t="shared" si="18"/>
        <v>0</v>
      </c>
      <c r="H46" s="189">
        <f t="shared" si="18"/>
        <v>0</v>
      </c>
      <c r="I46" s="189">
        <f t="shared" si="18"/>
        <v>0</v>
      </c>
      <c r="J46" s="189">
        <f t="shared" si="18"/>
        <v>0</v>
      </c>
      <c r="K46" s="189">
        <f t="shared" si="18"/>
        <v>0</v>
      </c>
      <c r="L46" s="189">
        <f t="shared" si="18"/>
        <v>0</v>
      </c>
      <c r="M46" s="189">
        <f t="shared" si="18"/>
        <v>0</v>
      </c>
      <c r="N46" s="189">
        <f t="shared" si="18"/>
        <v>0</v>
      </c>
      <c r="O46" s="189">
        <f t="shared" si="18"/>
        <v>0</v>
      </c>
      <c r="P46" s="189">
        <f t="shared" si="18"/>
        <v>0</v>
      </c>
      <c r="Q46" s="189">
        <f t="shared" si="18"/>
        <v>0</v>
      </c>
      <c r="R46" s="189">
        <f t="shared" si="18"/>
        <v>0</v>
      </c>
      <c r="S46" s="189">
        <f t="shared" si="18"/>
        <v>0</v>
      </c>
      <c r="T46" s="189">
        <f t="shared" si="18"/>
        <v>0</v>
      </c>
      <c r="U46" s="189">
        <f t="shared" si="18"/>
        <v>0</v>
      </c>
      <c r="V46" s="189">
        <f t="shared" si="18"/>
        <v>0</v>
      </c>
      <c r="W46" s="189">
        <f t="shared" si="18"/>
        <v>0</v>
      </c>
      <c r="X46" s="190">
        <f t="shared" si="18"/>
        <v>0</v>
      </c>
      <c r="Y46" s="190">
        <f>Y39*Y31</f>
        <v>0</v>
      </c>
      <c r="Z46" s="191">
        <f t="shared" si="12"/>
        <v>0</v>
      </c>
    </row>
    <row r="47" spans="2:26" ht="13.5">
      <c r="B47" s="58">
        <v>8</v>
      </c>
      <c r="C47" s="44" t="s">
        <v>49</v>
      </c>
      <c r="D47" s="45" t="s">
        <v>52</v>
      </c>
      <c r="E47" s="36">
        <f aca="true" t="shared" si="19" ref="E47:X47">E39*E32</f>
        <v>0</v>
      </c>
      <c r="F47" s="36">
        <f t="shared" si="19"/>
        <v>0</v>
      </c>
      <c r="G47" s="36">
        <f t="shared" si="19"/>
        <v>0</v>
      </c>
      <c r="H47" s="36">
        <f t="shared" si="19"/>
        <v>0</v>
      </c>
      <c r="I47" s="36">
        <f t="shared" si="19"/>
        <v>0</v>
      </c>
      <c r="J47" s="36">
        <f t="shared" si="19"/>
        <v>0</v>
      </c>
      <c r="K47" s="36">
        <f t="shared" si="19"/>
        <v>0</v>
      </c>
      <c r="L47" s="36">
        <f t="shared" si="19"/>
        <v>0</v>
      </c>
      <c r="M47" s="36">
        <f t="shared" si="19"/>
        <v>0</v>
      </c>
      <c r="N47" s="36">
        <f t="shared" si="19"/>
        <v>0</v>
      </c>
      <c r="O47" s="36">
        <f t="shared" si="19"/>
        <v>0</v>
      </c>
      <c r="P47" s="36">
        <f t="shared" si="19"/>
        <v>0</v>
      </c>
      <c r="Q47" s="36">
        <f t="shared" si="19"/>
        <v>0</v>
      </c>
      <c r="R47" s="36">
        <f t="shared" si="19"/>
        <v>0</v>
      </c>
      <c r="S47" s="36">
        <f t="shared" si="19"/>
        <v>0</v>
      </c>
      <c r="T47" s="36">
        <f t="shared" si="19"/>
        <v>0</v>
      </c>
      <c r="U47" s="36">
        <f t="shared" si="19"/>
        <v>0</v>
      </c>
      <c r="V47" s="36">
        <f t="shared" si="19"/>
        <v>0</v>
      </c>
      <c r="W47" s="36">
        <f t="shared" si="19"/>
        <v>0</v>
      </c>
      <c r="X47" s="59">
        <f t="shared" si="19"/>
        <v>0</v>
      </c>
      <c r="Y47" s="59">
        <f>Y39*Y32</f>
        <v>0</v>
      </c>
      <c r="Z47" s="37">
        <f t="shared" si="12"/>
        <v>0</v>
      </c>
    </row>
    <row r="48" spans="2:26" ht="13.5">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2:26" ht="13.5">
      <c r="B49" s="46" t="s">
        <v>31</v>
      </c>
      <c r="C49" s="46"/>
      <c r="D49" s="60"/>
      <c r="E49" s="43"/>
      <c r="F49" s="43"/>
      <c r="G49" s="43"/>
      <c r="H49" s="43"/>
      <c r="I49" s="43"/>
      <c r="J49" s="43"/>
      <c r="K49" s="43"/>
      <c r="L49" s="43"/>
      <c r="M49" s="43"/>
      <c r="N49" s="43"/>
      <c r="O49" s="43"/>
      <c r="P49" s="43"/>
      <c r="Q49" s="43"/>
      <c r="R49" s="43"/>
      <c r="S49" s="43"/>
      <c r="T49" s="43"/>
      <c r="U49" s="43"/>
      <c r="V49" s="43"/>
      <c r="W49" s="43"/>
      <c r="X49" s="43"/>
      <c r="Y49" s="43"/>
      <c r="Z49" s="43"/>
    </row>
    <row r="50" spans="2:26" ht="13.5">
      <c r="B50" s="31"/>
      <c r="C50" s="31" t="s">
        <v>32</v>
      </c>
      <c r="D50" s="41" t="s">
        <v>52</v>
      </c>
      <c r="E50" s="192">
        <f>Z47</f>
        <v>0</v>
      </c>
      <c r="F50" s="43"/>
      <c r="G50" s="43"/>
      <c r="H50" s="43"/>
      <c r="I50" s="43"/>
      <c r="J50" s="43"/>
      <c r="K50" s="43"/>
      <c r="L50" s="43"/>
      <c r="M50" s="43"/>
      <c r="N50" s="43"/>
      <c r="O50" s="43"/>
      <c r="P50" s="43"/>
      <c r="Q50" s="43"/>
      <c r="R50" s="43"/>
      <c r="S50" s="43"/>
      <c r="T50" s="43"/>
      <c r="U50" s="43"/>
      <c r="V50" s="43"/>
      <c r="W50" s="43"/>
      <c r="X50" s="43"/>
      <c r="Y50" s="43"/>
      <c r="Z50" s="43"/>
    </row>
    <row r="51" spans="2:26" ht="13.5">
      <c r="B51" s="31"/>
      <c r="C51" s="31" t="s">
        <v>33</v>
      </c>
      <c r="D51" s="41" t="s">
        <v>13</v>
      </c>
      <c r="E51" s="64" t="e">
        <f>IRR(E32:Y32)</f>
        <v>#NUM!</v>
      </c>
      <c r="F51" s="43"/>
      <c r="G51" s="43"/>
      <c r="H51" s="43"/>
      <c r="I51" s="43"/>
      <c r="J51" s="43"/>
      <c r="K51" s="43"/>
      <c r="L51" s="43"/>
      <c r="M51" s="43"/>
      <c r="N51" s="43"/>
      <c r="O51" s="43"/>
      <c r="P51" s="43"/>
      <c r="Q51" s="43"/>
      <c r="R51" s="43"/>
      <c r="S51" s="43"/>
      <c r="T51" s="43"/>
      <c r="U51" s="43"/>
      <c r="V51" s="43"/>
      <c r="W51" s="43"/>
      <c r="X51" s="43"/>
      <c r="Y51" s="43"/>
      <c r="Z51" s="43"/>
    </row>
    <row r="52" spans="2:26" ht="13.5">
      <c r="B52" s="31"/>
      <c r="C52" s="61" t="s">
        <v>34</v>
      </c>
      <c r="D52" s="41"/>
      <c r="E52" s="63" t="e">
        <f>Z42/ABS(Z46)</f>
        <v>#DIV/0!</v>
      </c>
      <c r="F52" s="43"/>
      <c r="G52" s="43"/>
      <c r="H52" s="43"/>
      <c r="I52" s="43"/>
      <c r="J52" s="43"/>
      <c r="K52" s="43"/>
      <c r="L52" s="43"/>
      <c r="M52" s="43"/>
      <c r="N52" s="43"/>
      <c r="O52" s="43"/>
      <c r="P52" s="43"/>
      <c r="Q52" s="43"/>
      <c r="R52" s="43"/>
      <c r="S52" s="43"/>
      <c r="T52" s="43"/>
      <c r="U52" s="43"/>
      <c r="V52" s="43"/>
      <c r="W52" s="43"/>
      <c r="X52" s="43"/>
      <c r="Y52" s="43"/>
      <c r="Z52" s="43"/>
    </row>
  </sheetData>
  <sheetProtection/>
  <printOptions/>
  <pageMargins left="0.75" right="0.75" top="1" bottom="1" header="0.5" footer="0.5"/>
  <pageSetup fitToHeight="2" fitToWidth="1" horizontalDpi="600" verticalDpi="600" orientation="landscape" paperSize="9" scale="37" r:id="rId1"/>
  <headerFooter alignWithMargins="0">
    <oddHeader>&amp;C3. Pielikuma aprēķins - Sociālekonomiskā analīze</oddHead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U11"/>
  <sheetViews>
    <sheetView zoomScale="85" zoomScaleNormal="85" zoomScalePageLayoutView="0" workbookViewId="0" topLeftCell="A1">
      <selection activeCell="B93" sqref="B93"/>
    </sheetView>
  </sheetViews>
  <sheetFormatPr defaultColWidth="9.00390625" defaultRowHeight="15.75"/>
  <cols>
    <col min="1" max="1" width="46.125" style="0" customWidth="1"/>
    <col min="2" max="6" width="8.00390625" style="0" customWidth="1"/>
    <col min="7" max="7" width="11.625" style="0" customWidth="1"/>
    <col min="8" max="8" width="13.25390625" style="0" customWidth="1"/>
    <col min="9" max="11" width="8.00390625" style="0" customWidth="1"/>
    <col min="12" max="15" width="3.75390625" style="0" customWidth="1"/>
    <col min="17" max="17" width="23.875" style="0" customWidth="1"/>
    <col min="18" max="21" width="29.875" style="0" customWidth="1"/>
  </cols>
  <sheetData>
    <row r="1" spans="1:21" ht="126">
      <c r="A1" s="294"/>
      <c r="B1" s="365" t="s">
        <v>314</v>
      </c>
      <c r="C1" s="367" t="s">
        <v>408</v>
      </c>
      <c r="D1" s="366" t="s">
        <v>315</v>
      </c>
      <c r="E1" s="368" t="s">
        <v>316</v>
      </c>
      <c r="F1" s="366" t="s">
        <v>317</v>
      </c>
      <c r="G1" s="365" t="s">
        <v>405</v>
      </c>
      <c r="H1" s="365" t="s">
        <v>406</v>
      </c>
      <c r="I1" s="366" t="s">
        <v>318</v>
      </c>
      <c r="J1" s="366" t="s">
        <v>319</v>
      </c>
      <c r="K1" s="365" t="s">
        <v>407</v>
      </c>
      <c r="L1" s="340" t="s">
        <v>195</v>
      </c>
      <c r="M1" s="340" t="s">
        <v>321</v>
      </c>
      <c r="N1" s="340" t="s">
        <v>376</v>
      </c>
      <c r="O1" s="340" t="s">
        <v>377</v>
      </c>
      <c r="Q1" s="324"/>
      <c r="R1" s="340" t="s">
        <v>195</v>
      </c>
      <c r="S1" s="340" t="s">
        <v>321</v>
      </c>
      <c r="T1" s="340" t="s">
        <v>376</v>
      </c>
      <c r="U1" s="340" t="s">
        <v>377</v>
      </c>
    </row>
    <row r="2" spans="1:21" ht="60">
      <c r="A2" s="294"/>
      <c r="B2" s="295"/>
      <c r="C2" s="295"/>
      <c r="D2" s="298" t="s">
        <v>13</v>
      </c>
      <c r="E2" s="298" t="s">
        <v>13</v>
      </c>
      <c r="F2" s="298" t="s">
        <v>13</v>
      </c>
      <c r="G2" s="298" t="s">
        <v>13</v>
      </c>
      <c r="H2" s="298" t="s">
        <v>13</v>
      </c>
      <c r="I2" s="298" t="s">
        <v>13</v>
      </c>
      <c r="J2" s="298" t="s">
        <v>13</v>
      </c>
      <c r="K2" s="298" t="s">
        <v>13</v>
      </c>
      <c r="L2" s="369"/>
      <c r="M2" s="369"/>
      <c r="N2" s="369"/>
      <c r="O2" s="369"/>
      <c r="Q2" s="336" t="s">
        <v>382</v>
      </c>
      <c r="R2" s="337" t="s">
        <v>54</v>
      </c>
      <c r="S2" s="337" t="s">
        <v>55</v>
      </c>
      <c r="T2" s="337" t="s">
        <v>56</v>
      </c>
      <c r="U2" s="337" t="s">
        <v>57</v>
      </c>
    </row>
    <row r="3" spans="1:21" ht="36">
      <c r="A3" s="295" t="s">
        <v>397</v>
      </c>
      <c r="B3" s="295">
        <v>66</v>
      </c>
      <c r="C3" s="295">
        <f>ROUND(B3*(E3/100),0)</f>
        <v>55</v>
      </c>
      <c r="D3" s="294">
        <v>69</v>
      </c>
      <c r="E3" s="294">
        <v>83</v>
      </c>
      <c r="F3" s="294">
        <v>74</v>
      </c>
      <c r="G3" s="294">
        <v>41</v>
      </c>
      <c r="H3" s="294">
        <v>40</v>
      </c>
      <c r="I3" s="294">
        <v>65</v>
      </c>
      <c r="J3" s="294">
        <v>24</v>
      </c>
      <c r="K3" s="294">
        <v>11</v>
      </c>
      <c r="L3" s="371">
        <v>1</v>
      </c>
      <c r="M3" s="370"/>
      <c r="N3" s="370"/>
      <c r="O3" s="370"/>
      <c r="Q3" s="336" t="s">
        <v>378</v>
      </c>
      <c r="R3" s="337" t="s">
        <v>379</v>
      </c>
      <c r="S3" s="337" t="s">
        <v>381</v>
      </c>
      <c r="T3" s="337" t="s">
        <v>383</v>
      </c>
      <c r="U3" s="337" t="s">
        <v>384</v>
      </c>
    </row>
    <row r="4" spans="1:21" ht="15.75">
      <c r="A4" s="295" t="s">
        <v>398</v>
      </c>
      <c r="B4" s="295">
        <v>71</v>
      </c>
      <c r="C4" s="295">
        <f aca="true" t="shared" si="0" ref="C4:C11">ROUND(B4*(E4/100),0)</f>
        <v>49</v>
      </c>
      <c r="D4" s="294">
        <v>58</v>
      </c>
      <c r="E4" s="294">
        <v>69</v>
      </c>
      <c r="F4" s="294">
        <v>56</v>
      </c>
      <c r="G4" s="294">
        <v>64</v>
      </c>
      <c r="H4" s="294">
        <v>63</v>
      </c>
      <c r="I4" s="294">
        <v>76</v>
      </c>
      <c r="J4" s="294">
        <v>36</v>
      </c>
      <c r="K4" s="294">
        <v>20</v>
      </c>
      <c r="L4" s="370"/>
      <c r="M4" s="371">
        <v>1</v>
      </c>
      <c r="N4" s="370"/>
      <c r="O4" s="370"/>
      <c r="Q4" s="365" t="s">
        <v>314</v>
      </c>
      <c r="R4">
        <f>_xlfn.SUMIFS($B$2:$B$11,L2:L11,1)</f>
        <v>66</v>
      </c>
      <c r="S4">
        <f>_xlfn.SUMIFS($B$2:$B$11,M2:M11,1)</f>
        <v>965</v>
      </c>
      <c r="T4">
        <f>_xlfn.SUMIFS($B$2:$B$11,N2:N11,1)</f>
        <v>60</v>
      </c>
      <c r="U4">
        <f>_xlfn.SUMIFS($B$2:$B$11,O2:O11,1)</f>
        <v>842</v>
      </c>
    </row>
    <row r="5" spans="1:21" ht="31.5">
      <c r="A5" s="295" t="s">
        <v>399</v>
      </c>
      <c r="B5" s="295">
        <v>60</v>
      </c>
      <c r="C5" s="295">
        <f t="shared" si="0"/>
        <v>23</v>
      </c>
      <c r="D5" s="294">
        <v>32</v>
      </c>
      <c r="E5" s="294">
        <v>39</v>
      </c>
      <c r="F5" s="294">
        <v>33</v>
      </c>
      <c r="G5" s="294">
        <v>51</v>
      </c>
      <c r="H5" s="294">
        <v>51</v>
      </c>
      <c r="I5" s="294">
        <v>68</v>
      </c>
      <c r="J5" s="294">
        <v>30</v>
      </c>
      <c r="K5" s="294">
        <v>8</v>
      </c>
      <c r="L5" s="370"/>
      <c r="M5" s="370"/>
      <c r="N5" s="371">
        <v>1</v>
      </c>
      <c r="O5" s="370"/>
      <c r="Q5" s="367" t="s">
        <v>408</v>
      </c>
      <c r="R5">
        <f>_xlfn.SUMIFS($C$2:$C$11,L2:L11,1)</f>
        <v>55</v>
      </c>
      <c r="S5">
        <f>_xlfn.SUMIFS($C$2:$C$11,M2:M11,1)</f>
        <v>399</v>
      </c>
      <c r="T5">
        <f>_xlfn.SUMIFS($C$2:$C$11,N2:N11,1)</f>
        <v>23</v>
      </c>
      <c r="U5">
        <f>_xlfn.SUMIFS($C$2:$C$11,O2:O11,1)</f>
        <v>393</v>
      </c>
    </row>
    <row r="6" spans="1:21" ht="15.75">
      <c r="A6" s="295" t="s">
        <v>400</v>
      </c>
      <c r="B6" s="295">
        <v>115</v>
      </c>
      <c r="C6" s="295">
        <f t="shared" si="0"/>
        <v>33</v>
      </c>
      <c r="D6" s="294">
        <v>13</v>
      </c>
      <c r="E6" s="294">
        <v>29</v>
      </c>
      <c r="F6" s="294">
        <v>25</v>
      </c>
      <c r="G6" s="294">
        <v>86</v>
      </c>
      <c r="H6" s="294">
        <v>72</v>
      </c>
      <c r="I6" s="294">
        <v>92</v>
      </c>
      <c r="J6" s="294">
        <v>20</v>
      </c>
      <c r="K6" s="294">
        <v>22</v>
      </c>
      <c r="L6" s="370"/>
      <c r="M6" s="370"/>
      <c r="N6" s="370"/>
      <c r="O6" s="370"/>
      <c r="R6" s="372">
        <f>R5/R4</f>
        <v>0.8333333333333334</v>
      </c>
      <c r="S6" s="372">
        <f>S5/S4</f>
        <v>0.41347150259067356</v>
      </c>
      <c r="T6" s="372">
        <f>T5/T4</f>
        <v>0.38333333333333336</v>
      </c>
      <c r="U6" s="372">
        <f>U5/U4</f>
        <v>0.4667458432304038</v>
      </c>
    </row>
    <row r="7" spans="1:15" ht="15.75">
      <c r="A7" s="295" t="s">
        <v>401</v>
      </c>
      <c r="B7" s="295">
        <v>446</v>
      </c>
      <c r="C7" s="295">
        <f t="shared" si="0"/>
        <v>147</v>
      </c>
      <c r="D7" s="294">
        <v>26</v>
      </c>
      <c r="E7" s="294">
        <v>33</v>
      </c>
      <c r="F7" s="294">
        <v>22</v>
      </c>
      <c r="G7" s="294">
        <v>56</v>
      </c>
      <c r="H7" s="294">
        <v>56</v>
      </c>
      <c r="I7" s="294">
        <v>69</v>
      </c>
      <c r="J7" s="294">
        <v>36</v>
      </c>
      <c r="K7" s="294">
        <v>4</v>
      </c>
      <c r="L7" s="370"/>
      <c r="M7" s="370"/>
      <c r="N7" s="370"/>
      <c r="O7" s="370">
        <v>1</v>
      </c>
    </row>
    <row r="8" spans="1:15" ht="15.75">
      <c r="A8" s="295" t="s">
        <v>402</v>
      </c>
      <c r="B8" s="295">
        <v>396</v>
      </c>
      <c r="C8" s="295">
        <f t="shared" si="0"/>
        <v>246</v>
      </c>
      <c r="D8" s="294">
        <v>46</v>
      </c>
      <c r="E8" s="294">
        <v>62</v>
      </c>
      <c r="F8" s="294">
        <v>53</v>
      </c>
      <c r="G8" s="294">
        <v>54</v>
      </c>
      <c r="H8" s="294">
        <v>51</v>
      </c>
      <c r="I8" s="294">
        <v>72</v>
      </c>
      <c r="J8" s="294">
        <v>36</v>
      </c>
      <c r="K8" s="294">
        <v>7</v>
      </c>
      <c r="L8" s="370"/>
      <c r="M8" s="370"/>
      <c r="N8" s="370"/>
      <c r="O8" s="370">
        <v>1</v>
      </c>
    </row>
    <row r="9" spans="1:15" ht="15.75">
      <c r="A9" s="295" t="s">
        <v>380</v>
      </c>
      <c r="B9" s="295">
        <v>395</v>
      </c>
      <c r="C9" s="295">
        <f t="shared" si="0"/>
        <v>158</v>
      </c>
      <c r="D9" s="294">
        <v>30</v>
      </c>
      <c r="E9" s="294">
        <v>40</v>
      </c>
      <c r="F9" s="294">
        <v>29</v>
      </c>
      <c r="G9" s="294">
        <v>63</v>
      </c>
      <c r="H9" s="294">
        <v>61</v>
      </c>
      <c r="I9" s="294">
        <v>83</v>
      </c>
      <c r="J9" s="294">
        <v>35</v>
      </c>
      <c r="K9" s="294">
        <v>12</v>
      </c>
      <c r="L9" s="370"/>
      <c r="M9" s="371">
        <v>1</v>
      </c>
      <c r="N9" s="370"/>
      <c r="O9" s="370"/>
    </row>
    <row r="10" spans="1:15" ht="15.75">
      <c r="A10" s="295" t="s">
        <v>403</v>
      </c>
      <c r="B10" s="295">
        <v>275</v>
      </c>
      <c r="C10" s="295">
        <f t="shared" si="0"/>
        <v>118</v>
      </c>
      <c r="D10" s="294">
        <v>32</v>
      </c>
      <c r="E10" s="294">
        <v>43</v>
      </c>
      <c r="F10" s="294">
        <v>28</v>
      </c>
      <c r="G10" s="294">
        <v>56</v>
      </c>
      <c r="H10" s="294">
        <v>56</v>
      </c>
      <c r="I10" s="294">
        <v>75</v>
      </c>
      <c r="J10" s="294">
        <v>28</v>
      </c>
      <c r="K10" s="294">
        <v>8</v>
      </c>
      <c r="L10" s="370"/>
      <c r="M10" s="371">
        <v>1</v>
      </c>
      <c r="N10" s="370"/>
      <c r="O10" s="370"/>
    </row>
    <row r="11" spans="1:15" ht="15">
      <c r="A11" s="295" t="s">
        <v>404</v>
      </c>
      <c r="B11" s="295">
        <v>224</v>
      </c>
      <c r="C11" s="295">
        <f t="shared" si="0"/>
        <v>74</v>
      </c>
      <c r="D11" s="294">
        <v>27</v>
      </c>
      <c r="E11" s="294">
        <v>33</v>
      </c>
      <c r="F11" s="294">
        <v>22</v>
      </c>
      <c r="G11" s="294">
        <v>67</v>
      </c>
      <c r="H11" s="294">
        <v>69</v>
      </c>
      <c r="I11" s="294">
        <v>88</v>
      </c>
      <c r="J11" s="294">
        <v>38</v>
      </c>
      <c r="K11" s="294">
        <v>9</v>
      </c>
      <c r="L11" s="370"/>
      <c r="M11" s="371">
        <v>1</v>
      </c>
      <c r="N11" s="370"/>
      <c r="O11" s="370"/>
    </row>
  </sheetData>
  <sheetProtection/>
  <protectedRanges>
    <protectedRange sqref="S2" name="Range3"/>
  </protectedRange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sheetPr>
    <tabColor theme="0" tint="-0.24997000396251678"/>
  </sheetPr>
  <dimension ref="A1:L23"/>
  <sheetViews>
    <sheetView zoomScale="70" zoomScaleNormal="70" zoomScalePageLayoutView="0" workbookViewId="0" topLeftCell="A1">
      <selection activeCell="B93" sqref="B93"/>
    </sheetView>
  </sheetViews>
  <sheetFormatPr defaultColWidth="9.00390625" defaultRowHeight="15.75"/>
  <cols>
    <col min="1" max="1" width="8.75390625" style="152" customWidth="1"/>
    <col min="2" max="9" width="13.875" style="152" customWidth="1"/>
    <col min="10" max="10" width="8.50390625" style="152" bestFit="1" customWidth="1"/>
    <col min="11" max="11" width="17.00390625" style="152" customWidth="1"/>
    <col min="12" max="16384" width="8.75390625" style="152" customWidth="1"/>
  </cols>
  <sheetData>
    <row r="1" spans="1:10" ht="38.25">
      <c r="A1" s="449" t="s">
        <v>607</v>
      </c>
      <c r="B1" s="450" t="s">
        <v>608</v>
      </c>
      <c r="C1" s="450" t="s">
        <v>609</v>
      </c>
      <c r="D1" s="450" t="s">
        <v>610</v>
      </c>
      <c r="E1" s="450" t="s">
        <v>611</v>
      </c>
      <c r="F1" s="450" t="s">
        <v>612</v>
      </c>
      <c r="G1" s="450" t="s">
        <v>613</v>
      </c>
      <c r="H1" s="450" t="s">
        <v>614</v>
      </c>
      <c r="I1" s="451" t="s">
        <v>615</v>
      </c>
      <c r="J1" s="464" t="s">
        <v>638</v>
      </c>
    </row>
    <row r="2" spans="1:9" ht="12.75">
      <c r="A2" s="452" t="s">
        <v>616</v>
      </c>
      <c r="B2" s="453"/>
      <c r="C2" s="453"/>
      <c r="D2" s="453">
        <v>97.32774297837948</v>
      </c>
      <c r="E2" s="453"/>
      <c r="F2" s="453">
        <v>73.9811224116485</v>
      </c>
      <c r="G2" s="453"/>
      <c r="H2" s="453">
        <v>89.89646653898465</v>
      </c>
      <c r="I2" s="454"/>
    </row>
    <row r="3" spans="1:12" ht="12.75">
      <c r="A3" s="455" t="s">
        <v>617</v>
      </c>
      <c r="B3" s="456">
        <v>94.40982359328206</v>
      </c>
      <c r="C3" s="456"/>
      <c r="D3" s="456"/>
      <c r="E3" s="456"/>
      <c r="F3" s="456">
        <v>91.97734410431806</v>
      </c>
      <c r="G3" s="456"/>
      <c r="H3" s="456"/>
      <c r="I3" s="457"/>
      <c r="K3" s="465" t="s">
        <v>710</v>
      </c>
      <c r="L3" s="466">
        <f>(100-H2)/100</f>
        <v>0.10103533461015346</v>
      </c>
    </row>
    <row r="4" spans="1:12" ht="12.75">
      <c r="A4" s="458" t="s">
        <v>618</v>
      </c>
      <c r="B4" s="459">
        <v>89.10088344257623</v>
      </c>
      <c r="C4" s="459"/>
      <c r="D4" s="459"/>
      <c r="E4" s="459"/>
      <c r="F4" s="459">
        <v>85.3597220952555</v>
      </c>
      <c r="G4" s="459"/>
      <c r="H4" s="459"/>
      <c r="I4" s="460"/>
      <c r="K4" s="465" t="s">
        <v>639</v>
      </c>
      <c r="L4" s="488">
        <f>L3/4</f>
        <v>0.025258833652538365</v>
      </c>
    </row>
    <row r="5" spans="1:9" ht="12.75">
      <c r="A5" s="455" t="s">
        <v>619</v>
      </c>
      <c r="B5" s="456">
        <v>89.24792846776836</v>
      </c>
      <c r="C5" s="456"/>
      <c r="D5" s="456">
        <v>78.38364167478092</v>
      </c>
      <c r="E5" s="456"/>
      <c r="F5" s="456">
        <v>82.32620320855615</v>
      </c>
      <c r="G5" s="456"/>
      <c r="H5" s="456">
        <v>68.51275668948351</v>
      </c>
      <c r="I5" s="457"/>
    </row>
    <row r="6" spans="1:9" ht="12.75">
      <c r="A6" s="458" t="s">
        <v>620</v>
      </c>
      <c r="B6" s="459"/>
      <c r="C6" s="459"/>
      <c r="D6" s="459">
        <v>86.61683171670863</v>
      </c>
      <c r="E6" s="459"/>
      <c r="F6" s="459">
        <v>74.13361670037362</v>
      </c>
      <c r="G6" s="459"/>
      <c r="H6" s="459"/>
      <c r="I6" s="460"/>
    </row>
    <row r="7" spans="1:9" ht="12.75">
      <c r="A7" s="455" t="s">
        <v>621</v>
      </c>
      <c r="B7" s="456">
        <v>83.66336633663366</v>
      </c>
      <c r="C7" s="456">
        <v>91.46273117877826</v>
      </c>
      <c r="D7" s="456"/>
      <c r="E7" s="456"/>
      <c r="F7" s="456">
        <v>59.92438563327032</v>
      </c>
      <c r="G7" s="456">
        <v>66.351606805293</v>
      </c>
      <c r="H7" s="456">
        <v>59.73084886128365</v>
      </c>
      <c r="I7" s="457">
        <v>65.94202898550725</v>
      </c>
    </row>
    <row r="8" spans="1:9" ht="12.75">
      <c r="A8" s="458" t="s">
        <v>622</v>
      </c>
      <c r="B8" s="459">
        <v>83.25044422940108</v>
      </c>
      <c r="C8" s="459"/>
      <c r="D8" s="459"/>
      <c r="E8" s="459"/>
      <c r="F8" s="459">
        <v>71.49772476170858</v>
      </c>
      <c r="G8" s="459"/>
      <c r="H8" s="459">
        <v>72.83175072629146</v>
      </c>
      <c r="I8" s="460"/>
    </row>
    <row r="9" spans="1:9" ht="12.75">
      <c r="A9" s="455" t="s">
        <v>623</v>
      </c>
      <c r="B9" s="456"/>
      <c r="C9" s="456"/>
      <c r="D9" s="456">
        <v>82.02260997788154</v>
      </c>
      <c r="E9" s="456"/>
      <c r="F9" s="456">
        <v>77.60956175298804</v>
      </c>
      <c r="G9" s="456"/>
      <c r="H9" s="456">
        <v>62.67491926803014</v>
      </c>
      <c r="I9" s="457"/>
    </row>
    <row r="10" spans="1:9" ht="12.75">
      <c r="A10" s="458" t="s">
        <v>624</v>
      </c>
      <c r="B10" s="459"/>
      <c r="C10" s="459"/>
      <c r="D10" s="459">
        <v>81.15464044632124</v>
      </c>
      <c r="E10" s="459">
        <v>95.3117775791388</v>
      </c>
      <c r="F10" s="459"/>
      <c r="G10" s="459"/>
      <c r="H10" s="459">
        <v>61.688617773464586</v>
      </c>
      <c r="I10" s="460">
        <v>79.5813115208651</v>
      </c>
    </row>
    <row r="11" spans="1:9" ht="12.75">
      <c r="A11" s="455" t="s">
        <v>625</v>
      </c>
      <c r="B11" s="456">
        <v>80.59668262273183</v>
      </c>
      <c r="C11" s="456">
        <v>88.88734275854392</v>
      </c>
      <c r="D11" s="456"/>
      <c r="E11" s="456"/>
      <c r="F11" s="456"/>
      <c r="G11" s="456"/>
      <c r="H11" s="456">
        <v>30.29084289403497</v>
      </c>
      <c r="I11" s="457">
        <v>49.12154438846789</v>
      </c>
    </row>
    <row r="12" spans="1:9" ht="12.75">
      <c r="A12" s="458" t="s">
        <v>626</v>
      </c>
      <c r="B12" s="459">
        <v>80.0982660610735</v>
      </c>
      <c r="C12" s="459">
        <v>91.9358985345788</v>
      </c>
      <c r="D12" s="459"/>
      <c r="E12" s="459"/>
      <c r="F12" s="459">
        <v>63.91746227286726</v>
      </c>
      <c r="G12" s="459">
        <v>74.42151729801868</v>
      </c>
      <c r="H12" s="459"/>
      <c r="I12" s="460"/>
    </row>
    <row r="13" spans="1:9" ht="12.75">
      <c r="A13" s="455" t="s">
        <v>627</v>
      </c>
      <c r="B13" s="456">
        <v>75.78650595939556</v>
      </c>
      <c r="C13" s="456">
        <v>83.87159329922281</v>
      </c>
      <c r="D13" s="456"/>
      <c r="E13" s="456"/>
      <c r="F13" s="456">
        <v>68.45765953747176</v>
      </c>
      <c r="G13" s="456">
        <v>74.97668389687169</v>
      </c>
      <c r="H13" s="456"/>
      <c r="I13" s="457"/>
    </row>
    <row r="14" spans="1:9" ht="12.75">
      <c r="A14" s="458" t="s">
        <v>628</v>
      </c>
      <c r="B14" s="459"/>
      <c r="C14" s="459"/>
      <c r="D14" s="459">
        <v>74.5957564319272</v>
      </c>
      <c r="E14" s="459"/>
      <c r="F14" s="459"/>
      <c r="G14" s="459"/>
      <c r="H14" s="459">
        <v>68.76910725690364</v>
      </c>
      <c r="I14" s="460"/>
    </row>
    <row r="15" spans="1:9" ht="12.75">
      <c r="A15" s="455" t="s">
        <v>629</v>
      </c>
      <c r="B15" s="456">
        <v>73.33917725878155</v>
      </c>
      <c r="C15" s="456">
        <v>82.97852357397784</v>
      </c>
      <c r="D15" s="456"/>
      <c r="E15" s="456"/>
      <c r="F15" s="456"/>
      <c r="G15" s="456"/>
      <c r="H15" s="456">
        <v>40.44247787610619</v>
      </c>
      <c r="I15" s="457">
        <v>60.33431661750246</v>
      </c>
    </row>
    <row r="16" spans="1:9" ht="12.75">
      <c r="A16" s="458" t="s">
        <v>630</v>
      </c>
      <c r="B16" s="459"/>
      <c r="C16" s="459"/>
      <c r="D16" s="459">
        <v>71.32268838358421</v>
      </c>
      <c r="E16" s="459"/>
      <c r="F16" s="459"/>
      <c r="G16" s="459"/>
      <c r="H16" s="459"/>
      <c r="I16" s="460"/>
    </row>
    <row r="17" spans="1:9" ht="12.75">
      <c r="A17" s="455" t="s">
        <v>631</v>
      </c>
      <c r="B17" s="456">
        <v>71.94980932464019</v>
      </c>
      <c r="C17" s="456">
        <v>97.150941075163</v>
      </c>
      <c r="D17" s="456"/>
      <c r="E17" s="456"/>
      <c r="F17" s="456">
        <v>60.930858787190786</v>
      </c>
      <c r="G17" s="456">
        <v>74.90694052113308</v>
      </c>
      <c r="H17" s="456">
        <v>61.89097024337833</v>
      </c>
      <c r="I17" s="457">
        <v>78.00096541629685</v>
      </c>
    </row>
    <row r="18" spans="1:9" ht="12.75">
      <c r="A18" s="458" t="s">
        <v>632</v>
      </c>
      <c r="B18" s="459">
        <v>68.62954025510044</v>
      </c>
      <c r="C18" s="459">
        <v>73.80049515810586</v>
      </c>
      <c r="D18" s="459"/>
      <c r="E18" s="459"/>
      <c r="F18" s="459"/>
      <c r="G18" s="459"/>
      <c r="H18" s="459"/>
      <c r="I18" s="460"/>
    </row>
    <row r="19" spans="1:9" ht="12.75">
      <c r="A19" s="455" t="s">
        <v>633</v>
      </c>
      <c r="B19" s="456"/>
      <c r="C19" s="456"/>
      <c r="D19" s="456">
        <v>65.73143433988764</v>
      </c>
      <c r="E19" s="456">
        <v>78.7427580758427</v>
      </c>
      <c r="F19" s="456"/>
      <c r="G19" s="456"/>
      <c r="H19" s="456">
        <v>60.44444976019327</v>
      </c>
      <c r="I19" s="457">
        <v>73.91787965410423</v>
      </c>
    </row>
    <row r="20" spans="1:9" ht="12.75">
      <c r="A20" s="458" t="s">
        <v>634</v>
      </c>
      <c r="B20" s="459">
        <v>64.28828559319922</v>
      </c>
      <c r="C20" s="459"/>
      <c r="D20" s="459"/>
      <c r="E20" s="459"/>
      <c r="F20" s="459">
        <v>57.476723449098465</v>
      </c>
      <c r="G20" s="459"/>
      <c r="H20" s="459"/>
      <c r="I20" s="460"/>
    </row>
    <row r="21" spans="1:9" ht="12.75">
      <c r="A21" s="455" t="s">
        <v>635</v>
      </c>
      <c r="B21" s="456"/>
      <c r="C21" s="456"/>
      <c r="D21" s="456">
        <v>64.27640156453715</v>
      </c>
      <c r="E21" s="456">
        <v>89.96088657105607</v>
      </c>
      <c r="F21" s="456">
        <v>30.48</v>
      </c>
      <c r="G21" s="456">
        <v>55.67999999999999</v>
      </c>
      <c r="H21" s="456">
        <v>26.5406162464986</v>
      </c>
      <c r="I21" s="457">
        <v>69.53781512605042</v>
      </c>
    </row>
    <row r="22" spans="1:9" ht="12.75">
      <c r="A22" s="458" t="s">
        <v>636</v>
      </c>
      <c r="B22" s="459">
        <v>61.33619214513968</v>
      </c>
      <c r="C22" s="459">
        <v>89.58341260842033</v>
      </c>
      <c r="D22" s="459"/>
      <c r="E22" s="459"/>
      <c r="F22" s="459">
        <v>55.239597044525176</v>
      </c>
      <c r="G22" s="459">
        <v>69.49007529089666</v>
      </c>
      <c r="H22" s="459"/>
      <c r="I22" s="460"/>
    </row>
    <row r="23" spans="1:9" ht="12.75">
      <c r="A23" s="461" t="s">
        <v>637</v>
      </c>
      <c r="B23" s="462">
        <v>60.43434806956412</v>
      </c>
      <c r="C23" s="462">
        <v>83.16351927324767</v>
      </c>
      <c r="D23" s="462"/>
      <c r="E23" s="462"/>
      <c r="F23" s="462"/>
      <c r="G23" s="462"/>
      <c r="H23" s="462"/>
      <c r="I23" s="463"/>
    </row>
  </sheetData>
  <sheetProtection/>
  <hyperlinks>
    <hyperlink ref="J1" r:id="rId1" display="https://www.oecd.org/edu/Education-at-a-Glance-2014.pdf"/>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C0C0C0"/>
  </sheetPr>
  <dimension ref="A1:E9"/>
  <sheetViews>
    <sheetView zoomScalePageLayoutView="0" workbookViewId="0" topLeftCell="A1">
      <selection activeCell="B93" sqref="B93"/>
    </sheetView>
  </sheetViews>
  <sheetFormatPr defaultColWidth="9.00390625" defaultRowHeight="15.75"/>
  <cols>
    <col min="1" max="1" width="25.125" style="0" customWidth="1"/>
    <col min="2" max="2" width="15.75390625" style="0" customWidth="1"/>
  </cols>
  <sheetData>
    <row r="1" spans="2:5" ht="15">
      <c r="B1" s="165">
        <v>2014</v>
      </c>
      <c r="C1" s="165"/>
      <c r="D1" s="165"/>
      <c r="E1" s="165"/>
    </row>
    <row r="2" spans="2:5" ht="15">
      <c r="B2" s="165">
        <v>100</v>
      </c>
      <c r="C2" s="165"/>
      <c r="D2" s="165"/>
      <c r="E2" s="165"/>
    </row>
    <row r="3" spans="1:5" ht="15">
      <c r="A3" t="s">
        <v>662</v>
      </c>
      <c r="B3" s="448">
        <v>0.5522622275484982</v>
      </c>
      <c r="C3" s="483"/>
      <c r="D3" s="165"/>
      <c r="E3" s="165"/>
    </row>
    <row r="4" spans="1:5" ht="15">
      <c r="A4" t="s">
        <v>663</v>
      </c>
      <c r="B4" s="448">
        <v>0.3627377724515018</v>
      </c>
      <c r="C4" s="483"/>
      <c r="D4" s="165"/>
      <c r="E4" s="165"/>
    </row>
    <row r="5" spans="1:3" ht="15">
      <c r="A5" t="s">
        <v>661</v>
      </c>
      <c r="B5" s="484">
        <v>0.085</v>
      </c>
      <c r="C5" s="165"/>
    </row>
    <row r="6" spans="2:5" ht="15">
      <c r="B6" s="390"/>
      <c r="C6" s="165"/>
      <c r="E6" s="165"/>
    </row>
    <row r="7" spans="1:5" ht="15">
      <c r="A7" t="s">
        <v>664</v>
      </c>
      <c r="B7" s="390"/>
      <c r="C7" s="165"/>
      <c r="D7" s="475"/>
      <c r="E7" s="483"/>
    </row>
    <row r="8" spans="2:5" ht="15">
      <c r="B8" s="390"/>
      <c r="C8" s="165"/>
      <c r="D8" s="165"/>
      <c r="E8" s="165"/>
    </row>
    <row r="9" spans="2:5" ht="15">
      <c r="B9" s="165"/>
      <c r="C9" s="165"/>
      <c r="D9" s="165"/>
      <c r="E9" s="165"/>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C0C0C0"/>
  </sheetPr>
  <dimension ref="A1:J127"/>
  <sheetViews>
    <sheetView zoomScale="85" zoomScaleNormal="85" zoomScalePageLayoutView="0" workbookViewId="0" topLeftCell="B42">
      <selection activeCell="B93" sqref="B93"/>
    </sheetView>
  </sheetViews>
  <sheetFormatPr defaultColWidth="7.75390625" defaultRowHeight="15.75"/>
  <cols>
    <col min="1" max="1" width="3.625" style="165" bestFit="1" customWidth="1"/>
    <col min="2" max="2" width="77.375" style="165" customWidth="1"/>
    <col min="3" max="3" width="20.125" style="165" customWidth="1"/>
    <col min="4" max="4" width="24.875" style="165" customWidth="1"/>
    <col min="5" max="5" width="37.00390625" style="165" customWidth="1"/>
    <col min="6" max="6" width="22.50390625" style="165" customWidth="1"/>
    <col min="7" max="7" width="23.75390625" style="165" customWidth="1"/>
    <col min="8" max="8" width="26.00390625" style="165" customWidth="1"/>
    <col min="9" max="9" width="23.375" style="165" customWidth="1"/>
    <col min="10" max="10" width="24.50390625" style="165" customWidth="1"/>
    <col min="11" max="16384" width="7.75390625" style="165" customWidth="1"/>
  </cols>
  <sheetData>
    <row r="1" spans="1:7" ht="12.75" hidden="1">
      <c r="A1" s="390" t="s">
        <v>150</v>
      </c>
      <c r="B1" s="390" t="s">
        <v>162</v>
      </c>
      <c r="C1" s="390"/>
      <c r="D1" s="390"/>
      <c r="E1" s="390"/>
      <c r="F1" s="390"/>
      <c r="G1" s="390"/>
    </row>
    <row r="2" spans="1:7" ht="12.75" hidden="1">
      <c r="A2" s="390"/>
      <c r="B2" s="390"/>
      <c r="C2" s="390">
        <v>2010</v>
      </c>
      <c r="D2" s="390">
        <v>2011</v>
      </c>
      <c r="E2" s="390">
        <v>2012</v>
      </c>
      <c r="F2" s="390">
        <v>2013</v>
      </c>
      <c r="G2" s="390">
        <v>2014</v>
      </c>
    </row>
    <row r="3" spans="1:7" ht="12.75" hidden="1">
      <c r="A3" s="390"/>
      <c r="B3" s="390" t="s">
        <v>163</v>
      </c>
      <c r="C3" s="390">
        <v>633</v>
      </c>
      <c r="D3" s="390">
        <v>660</v>
      </c>
      <c r="E3" s="390">
        <v>685</v>
      </c>
      <c r="F3" s="390">
        <v>716</v>
      </c>
      <c r="G3" s="390">
        <v>765</v>
      </c>
    </row>
    <row r="4" spans="1:7" s="166" customFormat="1" ht="12.75" hidden="1">
      <c r="A4" s="216"/>
      <c r="B4" s="216" t="s">
        <v>164</v>
      </c>
      <c r="C4" s="216">
        <v>591</v>
      </c>
      <c r="D4" s="216">
        <v>639</v>
      </c>
      <c r="E4" s="216">
        <v>644</v>
      </c>
      <c r="F4" s="216">
        <v>675</v>
      </c>
      <c r="G4" s="216">
        <v>732</v>
      </c>
    </row>
    <row r="5" spans="1:7" s="166" customFormat="1" ht="12.75" hidden="1">
      <c r="A5" s="216"/>
      <c r="B5" s="216" t="s">
        <v>165</v>
      </c>
      <c r="C5" s="216">
        <v>724</v>
      </c>
      <c r="D5" s="216">
        <v>737</v>
      </c>
      <c r="E5" s="216">
        <v>730</v>
      </c>
      <c r="F5" s="216">
        <v>827</v>
      </c>
      <c r="G5" s="216">
        <v>866</v>
      </c>
    </row>
    <row r="6" spans="1:7" s="166" customFormat="1" ht="12.75" hidden="1">
      <c r="A6" s="216"/>
      <c r="B6" s="216" t="s">
        <v>166</v>
      </c>
      <c r="C6" s="216">
        <v>577</v>
      </c>
      <c r="D6" s="216">
        <v>606</v>
      </c>
      <c r="E6" s="216">
        <v>634</v>
      </c>
      <c r="F6" s="216">
        <v>659</v>
      </c>
      <c r="G6" s="216">
        <v>705</v>
      </c>
    </row>
    <row r="7" spans="1:7" s="166" customFormat="1" ht="12.75" hidden="1">
      <c r="A7" s="216"/>
      <c r="B7" s="216" t="s">
        <v>167</v>
      </c>
      <c r="C7" s="216">
        <v>921</v>
      </c>
      <c r="D7" s="216">
        <v>951</v>
      </c>
      <c r="E7" s="216">
        <v>997</v>
      </c>
      <c r="F7" s="216">
        <v>1006</v>
      </c>
      <c r="G7" s="216">
        <v>1060</v>
      </c>
    </row>
    <row r="8" spans="1:7" s="166" customFormat="1" ht="12.75" hidden="1">
      <c r="A8" s="216"/>
      <c r="B8" s="216" t="s">
        <v>168</v>
      </c>
      <c r="C8" s="216">
        <v>644</v>
      </c>
      <c r="D8" s="216">
        <v>684</v>
      </c>
      <c r="E8" s="216">
        <v>708</v>
      </c>
      <c r="F8" s="216">
        <v>710</v>
      </c>
      <c r="G8" s="216">
        <v>741</v>
      </c>
    </row>
    <row r="9" spans="1:7" s="166" customFormat="1" ht="12.75" hidden="1">
      <c r="A9" s="216"/>
      <c r="B9" s="216" t="s">
        <v>169</v>
      </c>
      <c r="C9" s="216">
        <v>594</v>
      </c>
      <c r="D9" s="216">
        <v>622</v>
      </c>
      <c r="E9" s="216">
        <v>635</v>
      </c>
      <c r="F9" s="216">
        <v>678</v>
      </c>
      <c r="G9" s="216">
        <v>730</v>
      </c>
    </row>
    <row r="10" spans="1:7" s="166" customFormat="1" ht="12.75" hidden="1">
      <c r="A10" s="216"/>
      <c r="B10" s="216" t="s">
        <v>170</v>
      </c>
      <c r="C10" s="216">
        <v>524</v>
      </c>
      <c r="D10" s="216">
        <v>556</v>
      </c>
      <c r="E10" s="216">
        <v>582</v>
      </c>
      <c r="F10" s="216">
        <v>621</v>
      </c>
      <c r="G10" s="216">
        <v>667</v>
      </c>
    </row>
    <row r="11" spans="1:7" s="166" customFormat="1" ht="12.75" hidden="1">
      <c r="A11" s="216"/>
      <c r="B11" s="216" t="s">
        <v>171</v>
      </c>
      <c r="C11" s="216">
        <v>710</v>
      </c>
      <c r="D11" s="216">
        <v>717</v>
      </c>
      <c r="E11" s="216">
        <v>772</v>
      </c>
      <c r="F11" s="216">
        <v>776</v>
      </c>
      <c r="G11" s="216">
        <v>821</v>
      </c>
    </row>
    <row r="12" spans="1:7" s="166" customFormat="1" ht="12.75" hidden="1">
      <c r="A12" s="216"/>
      <c r="B12" s="216" t="s">
        <v>172</v>
      </c>
      <c r="C12" s="216">
        <v>405</v>
      </c>
      <c r="D12" s="216">
        <v>427</v>
      </c>
      <c r="E12" s="216">
        <v>444</v>
      </c>
      <c r="F12" s="216">
        <v>455</v>
      </c>
      <c r="G12" s="216">
        <v>493</v>
      </c>
    </row>
    <row r="13" spans="1:7" s="166" customFormat="1" ht="12.75" hidden="1">
      <c r="A13" s="216"/>
      <c r="B13" s="216" t="s">
        <v>173</v>
      </c>
      <c r="C13" s="216">
        <v>1081</v>
      </c>
      <c r="D13" s="216">
        <v>1109</v>
      </c>
      <c r="E13" s="216">
        <v>1121</v>
      </c>
      <c r="F13" s="216">
        <v>1158</v>
      </c>
      <c r="G13" s="216">
        <v>1221</v>
      </c>
    </row>
    <row r="14" spans="1:7" s="166" customFormat="1" ht="12.75" hidden="1">
      <c r="A14" s="216"/>
      <c r="B14" s="216" t="s">
        <v>174</v>
      </c>
      <c r="C14" s="216">
        <v>1322</v>
      </c>
      <c r="D14" s="216">
        <v>1375</v>
      </c>
      <c r="E14" s="216">
        <v>1430</v>
      </c>
      <c r="F14" s="216">
        <v>1531</v>
      </c>
      <c r="G14" s="216">
        <v>1682</v>
      </c>
    </row>
    <row r="15" spans="1:7" s="166" customFormat="1" ht="12.75" hidden="1">
      <c r="A15" s="216"/>
      <c r="B15" s="216" t="s">
        <v>175</v>
      </c>
      <c r="C15" s="216">
        <v>524</v>
      </c>
      <c r="D15" s="216">
        <v>568</v>
      </c>
      <c r="E15" s="216">
        <v>589</v>
      </c>
      <c r="F15" s="216">
        <v>609</v>
      </c>
      <c r="G15" s="216">
        <v>676</v>
      </c>
    </row>
    <row r="16" spans="1:7" s="166" customFormat="1" ht="12.75" hidden="1">
      <c r="A16" s="216"/>
      <c r="B16" s="216" t="s">
        <v>176</v>
      </c>
      <c r="C16" s="216">
        <v>827</v>
      </c>
      <c r="D16" s="216">
        <v>841</v>
      </c>
      <c r="E16" s="216">
        <v>857</v>
      </c>
      <c r="F16" s="216">
        <v>856</v>
      </c>
      <c r="G16" s="216">
        <v>891</v>
      </c>
    </row>
    <row r="17" spans="1:7" s="166" customFormat="1" ht="12.75" hidden="1">
      <c r="A17" s="216"/>
      <c r="B17" s="216" t="s">
        <v>177</v>
      </c>
      <c r="C17" s="216">
        <v>598</v>
      </c>
      <c r="D17" s="216">
        <v>611</v>
      </c>
      <c r="E17" s="216">
        <v>621</v>
      </c>
      <c r="F17" s="216">
        <v>640</v>
      </c>
      <c r="G17" s="216">
        <v>700</v>
      </c>
    </row>
    <row r="18" spans="1:7" s="166" customFormat="1" ht="12.75" hidden="1">
      <c r="A18" s="216"/>
      <c r="B18" s="216" t="s">
        <v>178</v>
      </c>
      <c r="C18" s="216">
        <v>728</v>
      </c>
      <c r="D18" s="216">
        <v>778</v>
      </c>
      <c r="E18" s="216">
        <v>815</v>
      </c>
      <c r="F18" s="216">
        <v>896</v>
      </c>
      <c r="G18" s="216">
        <v>957</v>
      </c>
    </row>
    <row r="19" spans="1:7" s="166" customFormat="1" ht="12.75" hidden="1">
      <c r="A19" s="216"/>
      <c r="B19" s="216" t="s">
        <v>179</v>
      </c>
      <c r="C19" s="216">
        <v>557</v>
      </c>
      <c r="D19" s="216">
        <v>570</v>
      </c>
      <c r="E19" s="216">
        <v>579</v>
      </c>
      <c r="F19" s="216">
        <v>602</v>
      </c>
      <c r="G19" s="216">
        <v>638</v>
      </c>
    </row>
    <row r="20" spans="1:7" s="166" customFormat="1" ht="12.75" hidden="1">
      <c r="A20" s="216"/>
      <c r="B20" s="216" t="s">
        <v>180</v>
      </c>
      <c r="C20" s="216">
        <v>597</v>
      </c>
      <c r="D20" s="216">
        <v>625</v>
      </c>
      <c r="E20" s="216">
        <v>641</v>
      </c>
      <c r="F20" s="216">
        <v>666</v>
      </c>
      <c r="G20" s="216">
        <v>714</v>
      </c>
    </row>
    <row r="21" spans="1:7" s="166" customFormat="1" ht="12.75" hidden="1">
      <c r="A21" s="216"/>
      <c r="B21" s="216" t="s">
        <v>181</v>
      </c>
      <c r="C21" s="216">
        <v>525</v>
      </c>
      <c r="D21" s="216">
        <v>552</v>
      </c>
      <c r="E21" s="216">
        <v>565</v>
      </c>
      <c r="F21" s="216">
        <v>637</v>
      </c>
      <c r="G21" s="216">
        <v>652</v>
      </c>
    </row>
    <row r="22" spans="1:7" s="166" customFormat="1" ht="12.75" hidden="1">
      <c r="A22" s="216"/>
      <c r="B22" s="216" t="s">
        <v>182</v>
      </c>
      <c r="C22" s="216">
        <v>502</v>
      </c>
      <c r="D22" s="216">
        <v>546</v>
      </c>
      <c r="E22" s="216">
        <v>572</v>
      </c>
      <c r="F22" s="216">
        <v>594</v>
      </c>
      <c r="G22" s="216">
        <v>619</v>
      </c>
    </row>
    <row r="23" ht="12.75" hidden="1"/>
    <row r="24" spans="1:7" ht="12.75" hidden="1">
      <c r="A24" s="390" t="s">
        <v>151</v>
      </c>
      <c r="B24" s="390" t="s">
        <v>183</v>
      </c>
      <c r="C24" s="390"/>
      <c r="D24" s="390"/>
      <c r="E24" s="390"/>
      <c r="F24" s="390"/>
      <c r="G24" s="390"/>
    </row>
    <row r="25" spans="1:7" ht="12.75" hidden="1">
      <c r="A25" s="390"/>
      <c r="B25" s="390"/>
      <c r="C25" s="390">
        <v>2010</v>
      </c>
      <c r="D25" s="390">
        <v>2011</v>
      </c>
      <c r="E25" s="390">
        <v>2012</v>
      </c>
      <c r="F25" s="390">
        <v>2013</v>
      </c>
      <c r="G25" s="390">
        <v>2014</v>
      </c>
    </row>
    <row r="26" spans="1:7" ht="12.75" hidden="1">
      <c r="A26" s="390" t="s">
        <v>65</v>
      </c>
      <c r="B26" s="390" t="s">
        <v>184</v>
      </c>
      <c r="C26" s="391">
        <v>963.6671214188267</v>
      </c>
      <c r="D26" s="391">
        <v>913.4464751958225</v>
      </c>
      <c r="E26" s="391">
        <v>976.1077762619374</v>
      </c>
      <c r="F26" s="391">
        <v>956.6314325452016</v>
      </c>
      <c r="G26" s="391">
        <v>1029.1221719457012</v>
      </c>
    </row>
    <row r="27" spans="1:7" ht="12.75" hidden="1">
      <c r="A27" s="390" t="s">
        <v>185</v>
      </c>
      <c r="B27" s="216" t="s">
        <v>186</v>
      </c>
      <c r="C27" s="391">
        <v>3290.6363636363635</v>
      </c>
      <c r="D27" s="391">
        <v>4093.022727272727</v>
      </c>
      <c r="E27" s="391">
        <v>4450.063106796116</v>
      </c>
      <c r="F27" s="391">
        <v>4536.320388349514</v>
      </c>
      <c r="G27" s="391">
        <v>4830.9417989418</v>
      </c>
    </row>
    <row r="28" spans="1:7" ht="12.75" hidden="1">
      <c r="A28" s="390" t="s">
        <v>187</v>
      </c>
      <c r="B28" s="216" t="s">
        <v>188</v>
      </c>
      <c r="C28" s="391">
        <v>1921.247771836007</v>
      </c>
      <c r="D28" s="391">
        <v>2067.604020979021</v>
      </c>
      <c r="E28" s="391">
        <v>2056.4808163265307</v>
      </c>
      <c r="F28" s="391">
        <v>2021.5242641209227</v>
      </c>
      <c r="G28" s="391">
        <v>2139.766835016835</v>
      </c>
    </row>
    <row r="29" spans="1:7" ht="12.75" hidden="1">
      <c r="A29" s="390" t="s">
        <v>189</v>
      </c>
      <c r="B29" s="216" t="s">
        <v>190</v>
      </c>
      <c r="C29" s="391">
        <v>1384.6649305555557</v>
      </c>
      <c r="D29" s="391">
        <v>1750.1527093596058</v>
      </c>
      <c r="E29" s="391">
        <v>1982.598715890851</v>
      </c>
      <c r="F29" s="391">
        <v>1962.0014858841014</v>
      </c>
      <c r="G29" s="391">
        <v>1947.0683060109288</v>
      </c>
    </row>
    <row r="30" spans="1:7" ht="12.75" hidden="1">
      <c r="A30" s="390" t="s">
        <v>191</v>
      </c>
      <c r="B30" s="390" t="s">
        <v>192</v>
      </c>
      <c r="C30" s="391">
        <v>1835.9168506254598</v>
      </c>
      <c r="D30" s="391">
        <v>1954.974302496329</v>
      </c>
      <c r="E30" s="391">
        <v>2171.9332810047094</v>
      </c>
      <c r="F30" s="391">
        <v>2144.395052473763</v>
      </c>
      <c r="G30" s="391">
        <v>2209.828420256991</v>
      </c>
    </row>
    <row r="31" spans="1:7" ht="12.75" hidden="1">
      <c r="A31" s="390" t="s">
        <v>193</v>
      </c>
      <c r="B31" s="390" t="s">
        <v>194</v>
      </c>
      <c r="C31" s="391">
        <v>2350.9845938375347</v>
      </c>
      <c r="D31" s="391">
        <v>2597.879781420765</v>
      </c>
      <c r="E31" s="391">
        <v>2720.3235685752334</v>
      </c>
      <c r="F31" s="391">
        <v>2680.0724450194048</v>
      </c>
      <c r="G31" s="391">
        <v>2478.8466981132074</v>
      </c>
    </row>
    <row r="32" spans="1:7" ht="12.75" hidden="1">
      <c r="A32" s="390" t="s">
        <v>195</v>
      </c>
      <c r="B32" s="390" t="s">
        <v>196</v>
      </c>
      <c r="C32" s="391">
        <v>996.0114942528735</v>
      </c>
      <c r="D32" s="391">
        <v>1220.1587301587304</v>
      </c>
      <c r="E32" s="391">
        <v>1092.2190812720848</v>
      </c>
      <c r="F32" s="391">
        <v>1302.3924528301886</v>
      </c>
      <c r="G32" s="391">
        <v>1267.061433447099</v>
      </c>
    </row>
    <row r="33" spans="1:7" ht="12.75" hidden="1">
      <c r="A33" s="390" t="s">
        <v>197</v>
      </c>
      <c r="B33" s="390" t="s">
        <v>198</v>
      </c>
      <c r="C33" s="391">
        <v>2765.9513108614233</v>
      </c>
      <c r="D33" s="391">
        <v>3093.071146245059</v>
      </c>
      <c r="E33" s="391">
        <v>3924.1860465116274</v>
      </c>
      <c r="F33" s="391">
        <v>3784.3374485596714</v>
      </c>
      <c r="G33" s="391">
        <v>3668.817490494296</v>
      </c>
    </row>
    <row r="34" spans="1:7" ht="12.75" hidden="1">
      <c r="A34" s="390" t="s">
        <v>199</v>
      </c>
      <c r="B34" s="390" t="s">
        <v>200</v>
      </c>
      <c r="C34" s="391">
        <v>3284.646341463415</v>
      </c>
      <c r="D34" s="391">
        <v>4202.774566473988</v>
      </c>
      <c r="E34" s="391">
        <v>3331.8966942148763</v>
      </c>
      <c r="F34" s="391">
        <v>3895.6857142857148</v>
      </c>
      <c r="G34" s="391">
        <v>5202.413407821229</v>
      </c>
    </row>
    <row r="35" spans="1:7" ht="12.75" hidden="1">
      <c r="A35" s="390" t="s">
        <v>201</v>
      </c>
      <c r="B35" s="390" t="s">
        <v>202</v>
      </c>
      <c r="C35" s="391">
        <v>9110.329608938548</v>
      </c>
      <c r="D35" s="391">
        <v>11371.857142857143</v>
      </c>
      <c r="E35" s="391">
        <v>10028.539130434783</v>
      </c>
      <c r="F35" s="391">
        <v>11166.925110132157</v>
      </c>
      <c r="G35" s="391">
        <v>12514.57004830918</v>
      </c>
    </row>
    <row r="36" spans="1:7" ht="12.75" hidden="1">
      <c r="A36" s="390" t="s">
        <v>203</v>
      </c>
      <c r="B36" s="390" t="s">
        <v>204</v>
      </c>
      <c r="C36" s="391">
        <v>1852.0223776223777</v>
      </c>
      <c r="D36" s="391">
        <v>2109.9463087248323</v>
      </c>
      <c r="E36" s="391">
        <v>2382.5744680851067</v>
      </c>
      <c r="F36" s="391">
        <v>2277.4511873350925</v>
      </c>
      <c r="G36" s="391">
        <v>2400.32223701731</v>
      </c>
    </row>
    <row r="37" spans="1:7" ht="12.75" hidden="1">
      <c r="A37" s="390" t="s">
        <v>205</v>
      </c>
      <c r="B37" s="390" t="s">
        <v>206</v>
      </c>
      <c r="C37" s="391">
        <v>2011.6733668341706</v>
      </c>
      <c r="D37" s="391">
        <v>2279.9747474747473</v>
      </c>
      <c r="E37" s="391">
        <v>2409.200339558574</v>
      </c>
      <c r="F37" s="391">
        <v>2394.044045676999</v>
      </c>
      <c r="G37" s="391">
        <v>2609.3481228668943</v>
      </c>
    </row>
    <row r="38" spans="1:7" ht="12.75" hidden="1">
      <c r="A38" s="390" t="s">
        <v>207</v>
      </c>
      <c r="B38" s="390" t="s">
        <v>208</v>
      </c>
      <c r="C38" s="391">
        <v>996.1609467455622</v>
      </c>
      <c r="D38" s="391">
        <v>1009.115990990991</v>
      </c>
      <c r="E38" s="391">
        <v>1006.0814332247558</v>
      </c>
      <c r="F38" s="391">
        <v>1041.983086680761</v>
      </c>
      <c r="G38" s="391">
        <v>1177.6169212690952</v>
      </c>
    </row>
    <row r="39" spans="1:7" ht="12.75" hidden="1">
      <c r="A39" s="390" t="s">
        <v>209</v>
      </c>
      <c r="B39" s="390" t="s">
        <v>210</v>
      </c>
      <c r="C39" s="391">
        <v>1020.3393939393939</v>
      </c>
      <c r="D39" s="391">
        <v>1021.0155038759691</v>
      </c>
      <c r="E39" s="391">
        <v>1110.822265625</v>
      </c>
      <c r="F39" s="391">
        <v>1283.8155136268342</v>
      </c>
      <c r="G39" s="391">
        <v>1290.6884615384615</v>
      </c>
    </row>
    <row r="40" spans="1:7" ht="12.75" hidden="1">
      <c r="A40" s="390" t="s">
        <v>211</v>
      </c>
      <c r="B40" s="390" t="s">
        <v>212</v>
      </c>
      <c r="C40" s="391">
        <v>1535.149732620321</v>
      </c>
      <c r="D40" s="391">
        <v>2056.451807228915</v>
      </c>
      <c r="E40" s="391">
        <v>1628.6304347826085</v>
      </c>
      <c r="F40" s="391">
        <v>1898.2186046511624</v>
      </c>
      <c r="G40" s="391">
        <v>1969.196428571429</v>
      </c>
    </row>
    <row r="41" spans="1:7" ht="12.75" hidden="1">
      <c r="A41" s="390"/>
      <c r="B41" s="390" t="s">
        <v>213</v>
      </c>
      <c r="C41" s="391">
        <v>1884.1986599271188</v>
      </c>
      <c r="D41" s="391">
        <v>2099.9741179201487</v>
      </c>
      <c r="E41" s="391">
        <v>2219.152124257652</v>
      </c>
      <c r="F41" s="391">
        <v>2263.5514039601744</v>
      </c>
      <c r="G41" s="391">
        <v>2361.7843092923354</v>
      </c>
    </row>
    <row r="43" spans="1:2" ht="12.75">
      <c r="A43" s="165" t="s">
        <v>153</v>
      </c>
      <c r="B43" s="165" t="s">
        <v>214</v>
      </c>
    </row>
    <row r="44" spans="3:7" ht="12.75">
      <c r="C44" s="165">
        <v>2010</v>
      </c>
      <c r="D44" s="165">
        <v>2011</v>
      </c>
      <c r="E44" s="165">
        <v>2012</v>
      </c>
      <c r="F44" s="165">
        <v>2013</v>
      </c>
      <c r="G44" s="165">
        <v>2014</v>
      </c>
    </row>
    <row r="45" spans="1:7" ht="12.75">
      <c r="A45" s="165" t="s">
        <v>215</v>
      </c>
      <c r="C45" s="167">
        <f>SUM(C46:C50)</f>
        <v>1056501.269469999</v>
      </c>
      <c r="D45" s="167">
        <f>SUM(D46:D50)</f>
        <v>1028208.7700000011</v>
      </c>
      <c r="E45" s="167">
        <f>SUM(E46:E50)</f>
        <v>1030715.2700000008</v>
      </c>
      <c r="F45" s="167">
        <f>SUM(F46:F50)</f>
        <v>1014249.8929199997</v>
      </c>
      <c r="G45" s="167">
        <f>SUM(G46:G50)</f>
        <v>992281.5499999995</v>
      </c>
    </row>
    <row r="46" spans="2:7" ht="12.75">
      <c r="B46" s="165" t="s">
        <v>216</v>
      </c>
      <c r="C46" s="167">
        <v>295628.35589999956</v>
      </c>
      <c r="D46" s="167">
        <v>301905.0800000009</v>
      </c>
      <c r="E46" s="167">
        <v>320269.2800000006</v>
      </c>
      <c r="F46" s="167">
        <v>334452.3725499999</v>
      </c>
      <c r="G46" s="167">
        <v>318760.02999999956</v>
      </c>
    </row>
    <row r="47" spans="2:7" ht="12.75">
      <c r="B47" s="165" t="s">
        <v>217</v>
      </c>
      <c r="C47" s="167">
        <v>365915.62776999985</v>
      </c>
      <c r="D47" s="167">
        <v>352392.8500000001</v>
      </c>
      <c r="E47" s="167">
        <v>345280.28000000026</v>
      </c>
      <c r="F47" s="167">
        <v>328569.55232999986</v>
      </c>
      <c r="G47" s="167">
        <v>329333.70999999985</v>
      </c>
    </row>
    <row r="48" spans="2:7" ht="12.75">
      <c r="B48" s="165" t="s">
        <v>218</v>
      </c>
      <c r="C48" s="167">
        <v>276822.0420199996</v>
      </c>
      <c r="D48" s="167">
        <v>258623.08000000005</v>
      </c>
      <c r="E48" s="167">
        <v>259653.14000000004</v>
      </c>
      <c r="F48" s="167">
        <v>253865.51177999986</v>
      </c>
      <c r="G48" s="167">
        <v>250736.62999999995</v>
      </c>
    </row>
    <row r="49" spans="2:7" ht="12.75">
      <c r="B49" s="165" t="s">
        <v>219</v>
      </c>
      <c r="C49" s="167">
        <v>117673.06482000003</v>
      </c>
      <c r="D49" s="167">
        <v>115006.72000000002</v>
      </c>
      <c r="E49" s="167">
        <v>105186.38999999996</v>
      </c>
      <c r="F49" s="167">
        <v>96909.93404000002</v>
      </c>
      <c r="G49" s="167">
        <v>92439.20000000006</v>
      </c>
    </row>
    <row r="50" spans="2:7" ht="12.75">
      <c r="B50" s="165" t="s">
        <v>220</v>
      </c>
      <c r="C50" s="167">
        <v>462.17896</v>
      </c>
      <c r="D50" s="167">
        <v>281.04</v>
      </c>
      <c r="E50" s="167">
        <v>326.18</v>
      </c>
      <c r="F50" s="167">
        <v>452.52222</v>
      </c>
      <c r="G50" s="167">
        <v>1011.9800000000001</v>
      </c>
    </row>
    <row r="51" spans="1:7" ht="12.75">
      <c r="A51" s="165" t="s">
        <v>221</v>
      </c>
      <c r="C51" s="167">
        <f>SUM(C52:C56)</f>
        <v>578797.4980899997</v>
      </c>
      <c r="D51" s="167">
        <f>SUM(D52:D56)</f>
        <v>567098.2000000005</v>
      </c>
      <c r="E51" s="167">
        <f>SUM(E52:E56)</f>
        <v>529252.3699999996</v>
      </c>
      <c r="F51" s="167">
        <f>SUM(F52:F56)</f>
        <v>521819.10677</v>
      </c>
      <c r="G51" s="167">
        <f>SUM(G52:G56)</f>
        <v>503509.98000000004</v>
      </c>
    </row>
    <row r="52" spans="2:7" ht="12.75">
      <c r="B52" s="165" t="s">
        <v>216</v>
      </c>
      <c r="C52" s="167">
        <v>60225.369329999994</v>
      </c>
      <c r="D52" s="167">
        <v>58251.95000000008</v>
      </c>
      <c r="E52" s="167">
        <v>54324.46999999997</v>
      </c>
      <c r="F52" s="167">
        <v>65178.25579999995</v>
      </c>
      <c r="G52" s="167">
        <v>68647.42000000006</v>
      </c>
    </row>
    <row r="53" spans="2:7" ht="12.75">
      <c r="B53" s="165" t="s">
        <v>217</v>
      </c>
      <c r="C53" s="167">
        <v>132943.12771999987</v>
      </c>
      <c r="D53" s="167">
        <v>132773.05999999982</v>
      </c>
      <c r="E53" s="167">
        <v>132176.1099999998</v>
      </c>
      <c r="F53" s="167">
        <v>128850.97159999984</v>
      </c>
      <c r="G53" s="167">
        <v>130150.49999999997</v>
      </c>
    </row>
    <row r="54" spans="2:7" ht="12.75">
      <c r="B54" s="165" t="s">
        <v>218</v>
      </c>
      <c r="C54" s="167">
        <v>156430.9734699998</v>
      </c>
      <c r="D54" s="167">
        <v>153780.11000000016</v>
      </c>
      <c r="E54" s="167">
        <v>151017.2799999997</v>
      </c>
      <c r="F54" s="167">
        <v>149913.52546000044</v>
      </c>
      <c r="G54" s="167">
        <v>142600.18000000005</v>
      </c>
    </row>
    <row r="55" spans="2:7" ht="12.75">
      <c r="B55" s="165" t="s">
        <v>219</v>
      </c>
      <c r="C55" s="167">
        <v>228905.22899000015</v>
      </c>
      <c r="D55" s="167">
        <v>222221.21000000046</v>
      </c>
      <c r="E55" s="167">
        <v>191734.51000000018</v>
      </c>
      <c r="F55" s="167">
        <v>177507.49644999977</v>
      </c>
      <c r="G55" s="167">
        <v>161664.11999999994</v>
      </c>
    </row>
    <row r="56" spans="2:7" ht="12.75">
      <c r="B56" s="165" t="s">
        <v>220</v>
      </c>
      <c r="C56" s="167">
        <v>292.79858</v>
      </c>
      <c r="D56" s="167">
        <v>71.87</v>
      </c>
      <c r="E56" s="167">
        <v>0</v>
      </c>
      <c r="F56" s="167">
        <v>368.85746</v>
      </c>
      <c r="G56" s="167">
        <v>447.76</v>
      </c>
    </row>
    <row r="57" ht="12.75">
      <c r="G57" s="167"/>
    </row>
    <row r="58" spans="1:2" ht="12.75">
      <c r="A58" s="165" t="s">
        <v>222</v>
      </c>
      <c r="B58" s="165" t="s">
        <v>223</v>
      </c>
    </row>
    <row r="59" spans="3:7" ht="12.75">
      <c r="C59" s="165">
        <v>2010</v>
      </c>
      <c r="D59" s="165">
        <v>2011</v>
      </c>
      <c r="E59" s="165">
        <v>2012</v>
      </c>
      <c r="F59" s="165">
        <v>2013</v>
      </c>
      <c r="G59" s="165">
        <v>2014</v>
      </c>
    </row>
    <row r="60" spans="2:7" ht="12.75">
      <c r="B60" s="165" t="s">
        <v>224</v>
      </c>
      <c r="C60" s="165">
        <v>100</v>
      </c>
      <c r="D60" s="165">
        <v>100</v>
      </c>
      <c r="E60" s="165">
        <v>100</v>
      </c>
      <c r="F60" s="165">
        <v>100</v>
      </c>
      <c r="G60" s="165">
        <v>100</v>
      </c>
    </row>
    <row r="61" spans="2:7" ht="12.75">
      <c r="B61" s="165" t="s">
        <v>225</v>
      </c>
      <c r="C61" s="165">
        <v>60.9</v>
      </c>
      <c r="D61" s="165">
        <v>60.7</v>
      </c>
      <c r="E61" s="165">
        <v>60.8</v>
      </c>
      <c r="F61" s="165">
        <v>61.5</v>
      </c>
      <c r="G61" s="165">
        <v>61.3</v>
      </c>
    </row>
    <row r="62" spans="2:7" ht="12.75">
      <c r="B62" s="390" t="s">
        <v>226</v>
      </c>
      <c r="C62" s="390">
        <v>33.8</v>
      </c>
      <c r="D62" s="390">
        <v>33.9</v>
      </c>
      <c r="E62" s="390">
        <v>33.8</v>
      </c>
      <c r="F62" s="390">
        <v>33.4</v>
      </c>
      <c r="G62" s="165">
        <v>33.8</v>
      </c>
    </row>
    <row r="63" spans="2:9" ht="12.75">
      <c r="B63" s="390" t="s">
        <v>227</v>
      </c>
      <c r="C63" s="390">
        <v>5.3</v>
      </c>
      <c r="D63" s="390">
        <v>5.4</v>
      </c>
      <c r="E63" s="390">
        <v>5.4</v>
      </c>
      <c r="F63" s="390">
        <v>5.1</v>
      </c>
      <c r="G63" s="165">
        <v>4.9</v>
      </c>
      <c r="I63" s="475"/>
    </row>
    <row r="64" spans="2:9" ht="12.75">
      <c r="B64" s="390" t="s">
        <v>228</v>
      </c>
      <c r="C64" s="390">
        <v>100</v>
      </c>
      <c r="D64" s="390">
        <v>100</v>
      </c>
      <c r="E64" s="390">
        <v>100</v>
      </c>
      <c r="F64" s="390">
        <v>100</v>
      </c>
      <c r="G64" s="390">
        <v>100</v>
      </c>
      <c r="I64" s="475"/>
    </row>
    <row r="65" spans="2:10" ht="12.75">
      <c r="B65" s="390" t="s">
        <v>229</v>
      </c>
      <c r="C65" s="390">
        <v>58.9</v>
      </c>
      <c r="D65" s="390">
        <v>58.3</v>
      </c>
      <c r="E65" s="390">
        <v>62.8</v>
      </c>
      <c r="F65" s="390">
        <v>59.6</v>
      </c>
      <c r="G65" s="390">
        <v>63.8</v>
      </c>
      <c r="I65" s="475"/>
      <c r="J65" s="483"/>
    </row>
    <row r="66" spans="2:7" ht="12.75">
      <c r="B66" s="390" t="s">
        <v>230</v>
      </c>
      <c r="C66" s="390">
        <v>4.2</v>
      </c>
      <c r="D66" s="390">
        <v>5.3</v>
      </c>
      <c r="E66" s="390">
        <v>6.4</v>
      </c>
      <c r="F66" s="390">
        <v>7.6</v>
      </c>
      <c r="G66" s="390">
        <v>7.3</v>
      </c>
    </row>
    <row r="67" spans="2:7" ht="12.75">
      <c r="B67" s="165" t="s">
        <v>231</v>
      </c>
      <c r="C67" s="165">
        <v>36.9</v>
      </c>
      <c r="D67" s="165">
        <v>36.4</v>
      </c>
      <c r="E67" s="165">
        <v>30.8</v>
      </c>
      <c r="F67" s="165">
        <v>32.8</v>
      </c>
      <c r="G67" s="165">
        <v>28.9</v>
      </c>
    </row>
    <row r="69" spans="1:10" ht="12.75" hidden="1">
      <c r="A69" s="390" t="s">
        <v>232</v>
      </c>
      <c r="B69" s="390" t="s">
        <v>233</v>
      </c>
      <c r="C69" s="390"/>
      <c r="D69" s="390"/>
      <c r="E69" s="390"/>
      <c r="F69" s="390"/>
      <c r="G69" s="390"/>
      <c r="H69" s="390"/>
      <c r="I69" s="390"/>
      <c r="J69" s="390"/>
    </row>
    <row r="70" spans="1:10" ht="12.75" hidden="1">
      <c r="A70" s="390"/>
      <c r="B70" s="390">
        <v>2014</v>
      </c>
      <c r="C70" s="392"/>
      <c r="D70" s="392">
        <v>18</v>
      </c>
      <c r="E70" s="392" t="s">
        <v>234</v>
      </c>
      <c r="F70" s="392">
        <v>14</v>
      </c>
      <c r="G70" s="392" t="s">
        <v>235</v>
      </c>
      <c r="H70" s="393" t="s">
        <v>236</v>
      </c>
      <c r="I70" s="393" t="s">
        <v>237</v>
      </c>
      <c r="J70" s="392">
        <v>99</v>
      </c>
    </row>
    <row r="71" spans="1:10" ht="12.75" hidden="1">
      <c r="A71" s="390"/>
      <c r="B71" s="390"/>
      <c r="C71" s="390" t="s">
        <v>238</v>
      </c>
      <c r="D71" s="390" t="s">
        <v>239</v>
      </c>
      <c r="E71" s="390" t="s">
        <v>240</v>
      </c>
      <c r="F71" s="390" t="s">
        <v>241</v>
      </c>
      <c r="G71" s="390" t="s">
        <v>217</v>
      </c>
      <c r="H71" s="390" t="s">
        <v>218</v>
      </c>
      <c r="I71" s="390" t="s">
        <v>219</v>
      </c>
      <c r="J71" s="390" t="s">
        <v>220</v>
      </c>
    </row>
    <row r="72" spans="1:10" ht="12.75" hidden="1">
      <c r="A72" s="390"/>
      <c r="B72" s="390" t="s">
        <v>163</v>
      </c>
      <c r="C72" s="391">
        <f>SUM(C73:C92)</f>
        <v>884655.65</v>
      </c>
      <c r="D72" s="391">
        <f aca="true" t="shared" si="0" ref="D72:J72">SUM(D73:D92)</f>
        <v>5405.96</v>
      </c>
      <c r="E72" s="391">
        <f t="shared" si="0"/>
        <v>268430.12</v>
      </c>
      <c r="F72" s="391">
        <f t="shared" si="0"/>
        <v>27199</v>
      </c>
      <c r="G72" s="302">
        <f t="shared" si="0"/>
        <v>294772.07999999996</v>
      </c>
      <c r="H72" s="302">
        <f t="shared" si="0"/>
        <v>217607.36000000007</v>
      </c>
      <c r="I72" s="302">
        <f t="shared" si="0"/>
        <v>70229.14999999998</v>
      </c>
      <c r="J72" s="391">
        <f t="shared" si="0"/>
        <v>1011.9799999999999</v>
      </c>
    </row>
    <row r="73" spans="1:10" ht="12.75" hidden="1">
      <c r="A73" s="390"/>
      <c r="B73" s="390" t="s">
        <v>164</v>
      </c>
      <c r="C73" s="391">
        <v>66351.70999999996</v>
      </c>
      <c r="D73" s="391">
        <v>79.37</v>
      </c>
      <c r="E73" s="391">
        <v>7710.669999999998</v>
      </c>
      <c r="F73" s="391">
        <v>983.31</v>
      </c>
      <c r="G73" s="302">
        <v>27765.57999999998</v>
      </c>
      <c r="H73" s="302">
        <v>15819.039999999999</v>
      </c>
      <c r="I73" s="302">
        <v>13993.739999999985</v>
      </c>
      <c r="J73" s="391">
        <v>0</v>
      </c>
    </row>
    <row r="74" spans="1:10" ht="12.75" hidden="1">
      <c r="A74" s="390"/>
      <c r="B74" s="390" t="s">
        <v>165</v>
      </c>
      <c r="C74" s="391">
        <v>3653.27</v>
      </c>
      <c r="D74" s="391">
        <v>0</v>
      </c>
      <c r="E74" s="391">
        <v>135.05</v>
      </c>
      <c r="F74" s="391">
        <v>0</v>
      </c>
      <c r="G74" s="302">
        <v>1409.5299999999997</v>
      </c>
      <c r="H74" s="302">
        <v>1262.36</v>
      </c>
      <c r="I74" s="302">
        <v>846.33</v>
      </c>
      <c r="J74" s="391">
        <v>0</v>
      </c>
    </row>
    <row r="75" spans="1:10" ht="12.75" hidden="1">
      <c r="A75" s="390"/>
      <c r="B75" s="390" t="s">
        <v>166</v>
      </c>
      <c r="C75" s="391">
        <v>118837.32</v>
      </c>
      <c r="D75" s="391">
        <v>0</v>
      </c>
      <c r="E75" s="391">
        <v>19352.510000000002</v>
      </c>
      <c r="F75" s="391">
        <v>2331.7900000000004</v>
      </c>
      <c r="G75" s="302">
        <v>51089.46000000001</v>
      </c>
      <c r="H75" s="302">
        <v>30729.629999999997</v>
      </c>
      <c r="I75" s="302">
        <v>15242.78</v>
      </c>
      <c r="J75" s="391">
        <v>91.15</v>
      </c>
    </row>
    <row r="76" spans="1:10" ht="12.75" hidden="1">
      <c r="A76" s="390"/>
      <c r="B76" s="390" t="s">
        <v>167</v>
      </c>
      <c r="C76" s="391">
        <v>9995.05</v>
      </c>
      <c r="D76" s="391">
        <v>0</v>
      </c>
      <c r="E76" s="391">
        <v>2695.49</v>
      </c>
      <c r="F76" s="391">
        <v>380.21</v>
      </c>
      <c r="G76" s="302">
        <v>3872.8099999999995</v>
      </c>
      <c r="H76" s="302">
        <v>2539.1000000000004</v>
      </c>
      <c r="I76" s="302">
        <v>507.4399999999999</v>
      </c>
      <c r="J76" s="391">
        <v>0</v>
      </c>
    </row>
    <row r="77" spans="1:10" ht="12.75" hidden="1">
      <c r="A77" s="390"/>
      <c r="B77" s="390" t="s">
        <v>168</v>
      </c>
      <c r="C77" s="391">
        <v>5152.280000000001</v>
      </c>
      <c r="D77" s="391">
        <v>0</v>
      </c>
      <c r="E77" s="391">
        <v>1399.13</v>
      </c>
      <c r="F77" s="391">
        <v>0</v>
      </c>
      <c r="G77" s="302">
        <v>1883.74</v>
      </c>
      <c r="H77" s="302">
        <v>1079.52</v>
      </c>
      <c r="I77" s="302">
        <v>789.8899999999999</v>
      </c>
      <c r="J77" s="391">
        <v>0</v>
      </c>
    </row>
    <row r="78" spans="1:10" ht="12.75" hidden="1">
      <c r="A78" s="390"/>
      <c r="B78" s="390" t="s">
        <v>169</v>
      </c>
      <c r="C78" s="391">
        <v>73233.76</v>
      </c>
      <c r="D78" s="391">
        <v>126.31</v>
      </c>
      <c r="E78" s="391">
        <v>11679.500000000002</v>
      </c>
      <c r="F78" s="391">
        <v>1870.3299999999997</v>
      </c>
      <c r="G78" s="302">
        <v>28770.83</v>
      </c>
      <c r="H78" s="302">
        <v>19738.790000000015</v>
      </c>
      <c r="I78" s="302">
        <v>11023.769999999997</v>
      </c>
      <c r="J78" s="391">
        <v>24.23</v>
      </c>
    </row>
    <row r="79" spans="1:10" ht="12.75" hidden="1">
      <c r="A79" s="390"/>
      <c r="B79" s="390" t="s">
        <v>170</v>
      </c>
      <c r="C79" s="391">
        <v>132265.59</v>
      </c>
      <c r="D79" s="391">
        <v>552.56</v>
      </c>
      <c r="E79" s="391">
        <v>28559.45000000001</v>
      </c>
      <c r="F79" s="391">
        <v>3623.419999999998</v>
      </c>
      <c r="G79" s="302">
        <v>47481.45999999996</v>
      </c>
      <c r="H79" s="302">
        <v>43852.16000000001</v>
      </c>
      <c r="I79" s="302">
        <v>7911.719999999997</v>
      </c>
      <c r="J79" s="391">
        <v>284.82</v>
      </c>
    </row>
    <row r="80" spans="1:10" ht="12.75" hidden="1">
      <c r="A80" s="390"/>
      <c r="B80" s="390" t="s">
        <v>171</v>
      </c>
      <c r="C80" s="391">
        <v>84819.48999999998</v>
      </c>
      <c r="D80" s="391">
        <v>0</v>
      </c>
      <c r="E80" s="391">
        <v>17065.010000000006</v>
      </c>
      <c r="F80" s="391">
        <v>1249.1699999999998</v>
      </c>
      <c r="G80" s="302">
        <v>35653.909999999974</v>
      </c>
      <c r="H80" s="302">
        <v>24851.190000000002</v>
      </c>
      <c r="I80" s="302">
        <v>5817.24</v>
      </c>
      <c r="J80" s="391">
        <v>182.97</v>
      </c>
    </row>
    <row r="81" spans="1:10" ht="12.75" hidden="1">
      <c r="A81" s="390"/>
      <c r="B81" s="390" t="s">
        <v>172</v>
      </c>
      <c r="C81" s="391">
        <v>29293.71</v>
      </c>
      <c r="D81" s="391">
        <v>0</v>
      </c>
      <c r="E81" s="391">
        <v>4427.68</v>
      </c>
      <c r="F81" s="391">
        <v>819.3399999999999</v>
      </c>
      <c r="G81" s="302">
        <v>11195.159999999996</v>
      </c>
      <c r="H81" s="302">
        <v>10375.179999999998</v>
      </c>
      <c r="I81" s="302">
        <v>2476.35</v>
      </c>
      <c r="J81" s="391">
        <v>0</v>
      </c>
    </row>
    <row r="82" spans="1:10" ht="12.75" hidden="1">
      <c r="A82" s="390"/>
      <c r="B82" s="390" t="s">
        <v>173</v>
      </c>
      <c r="C82" s="391">
        <v>26280.790000000005</v>
      </c>
      <c r="D82" s="391">
        <v>317.53999999999996</v>
      </c>
      <c r="E82" s="391">
        <v>15882.420000000006</v>
      </c>
      <c r="F82" s="391">
        <v>236.89999999999998</v>
      </c>
      <c r="G82" s="302">
        <v>4678.639999999999</v>
      </c>
      <c r="H82" s="302">
        <v>4659.290000000001</v>
      </c>
      <c r="I82" s="302">
        <v>506</v>
      </c>
      <c r="J82" s="391">
        <v>0</v>
      </c>
    </row>
    <row r="83" spans="1:10" ht="12.75" hidden="1">
      <c r="A83" s="390"/>
      <c r="B83" s="390" t="s">
        <v>174</v>
      </c>
      <c r="C83" s="391">
        <v>17893.43</v>
      </c>
      <c r="D83" s="391">
        <v>0</v>
      </c>
      <c r="E83" s="391">
        <v>13322.980000000001</v>
      </c>
      <c r="F83" s="391">
        <v>821.1500000000001</v>
      </c>
      <c r="G83" s="302">
        <v>934.22</v>
      </c>
      <c r="H83" s="302">
        <v>2771.67</v>
      </c>
      <c r="I83" s="302">
        <v>43.41</v>
      </c>
      <c r="J83" s="391">
        <v>0</v>
      </c>
    </row>
    <row r="84" spans="1:10" ht="12.75" hidden="1">
      <c r="A84" s="390"/>
      <c r="B84" s="390" t="s">
        <v>175</v>
      </c>
      <c r="C84" s="391">
        <v>20727.079999999998</v>
      </c>
      <c r="D84" s="391">
        <v>0</v>
      </c>
      <c r="E84" s="391">
        <v>4850.83</v>
      </c>
      <c r="F84" s="391">
        <v>200.30999999999997</v>
      </c>
      <c r="G84" s="302">
        <v>8233.710000000001</v>
      </c>
      <c r="H84" s="302">
        <v>6294.919999999999</v>
      </c>
      <c r="I84" s="302">
        <v>1075.05</v>
      </c>
      <c r="J84" s="391">
        <v>72.26</v>
      </c>
    </row>
    <row r="85" spans="1:10" ht="12.75" hidden="1">
      <c r="A85" s="390"/>
      <c r="B85" s="390" t="s">
        <v>176</v>
      </c>
      <c r="C85" s="391">
        <v>36100.03999999999</v>
      </c>
      <c r="D85" s="391">
        <v>1703.3800000000003</v>
      </c>
      <c r="E85" s="391">
        <v>24002.49999999999</v>
      </c>
      <c r="F85" s="391">
        <v>1275.48</v>
      </c>
      <c r="G85" s="302">
        <v>4752.500000000001</v>
      </c>
      <c r="H85" s="302">
        <v>3817.9800000000014</v>
      </c>
      <c r="I85" s="302">
        <v>330.04</v>
      </c>
      <c r="J85" s="391">
        <v>218.16</v>
      </c>
    </row>
    <row r="86" spans="1:10" ht="12.75" hidden="1">
      <c r="A86" s="390"/>
      <c r="B86" s="390" t="s">
        <v>177</v>
      </c>
      <c r="C86" s="391">
        <v>24326.61</v>
      </c>
      <c r="D86" s="391">
        <v>0</v>
      </c>
      <c r="E86" s="391">
        <v>6704.359999999999</v>
      </c>
      <c r="F86" s="391">
        <v>609.86</v>
      </c>
      <c r="G86" s="302">
        <v>6286.990000000001</v>
      </c>
      <c r="H86" s="302">
        <v>8203.380000000003</v>
      </c>
      <c r="I86" s="302">
        <v>2522.0199999999995</v>
      </c>
      <c r="J86" s="391">
        <v>0</v>
      </c>
    </row>
    <row r="87" spans="1:10" ht="12.75" hidden="1">
      <c r="A87" s="390"/>
      <c r="B87" s="390" t="s">
        <v>178</v>
      </c>
      <c r="C87" s="391">
        <v>58587.049999999996</v>
      </c>
      <c r="D87" s="391">
        <v>162.01</v>
      </c>
      <c r="E87" s="391">
        <v>34606.07000000001</v>
      </c>
      <c r="F87" s="391">
        <v>3581.270000000001</v>
      </c>
      <c r="G87" s="302">
        <v>9679.800000000003</v>
      </c>
      <c r="H87" s="302">
        <v>9462.419999999998</v>
      </c>
      <c r="I87" s="302">
        <v>957.0899999999999</v>
      </c>
      <c r="J87" s="391">
        <v>138.39000000000001</v>
      </c>
    </row>
    <row r="88" spans="1:10" ht="12.75" hidden="1">
      <c r="A88" s="390"/>
      <c r="B88" s="390" t="s">
        <v>179</v>
      </c>
      <c r="C88" s="391">
        <v>85053.32</v>
      </c>
      <c r="D88" s="391">
        <v>2343.1400000000003</v>
      </c>
      <c r="E88" s="391">
        <v>48454.31</v>
      </c>
      <c r="F88" s="391">
        <v>3412.7700000000004</v>
      </c>
      <c r="G88" s="302">
        <v>16706.7</v>
      </c>
      <c r="H88" s="302">
        <v>12191.81000000001</v>
      </c>
      <c r="I88" s="302">
        <v>1944.5899999999997</v>
      </c>
      <c r="J88" s="391">
        <v>0</v>
      </c>
    </row>
    <row r="89" spans="1:10" ht="12.75" hidden="1">
      <c r="A89" s="390"/>
      <c r="B89" s="390" t="s">
        <v>180</v>
      </c>
      <c r="C89" s="391">
        <v>52039.219999999994</v>
      </c>
      <c r="D89" s="391">
        <v>121.65</v>
      </c>
      <c r="E89" s="391">
        <v>17259.639999999996</v>
      </c>
      <c r="F89" s="391">
        <v>4604.01</v>
      </c>
      <c r="G89" s="302">
        <v>19956.83</v>
      </c>
      <c r="H89" s="302">
        <v>8102.980000000004</v>
      </c>
      <c r="I89" s="302">
        <v>1994.11</v>
      </c>
      <c r="J89" s="391">
        <v>0</v>
      </c>
    </row>
    <row r="90" spans="1:10" ht="12.75" hidden="1">
      <c r="A90" s="390"/>
      <c r="B90" s="390" t="s">
        <v>181</v>
      </c>
      <c r="C90" s="391">
        <v>22371.920000000002</v>
      </c>
      <c r="D90" s="391">
        <v>0</v>
      </c>
      <c r="E90" s="391">
        <v>7445.69</v>
      </c>
      <c r="F90" s="391">
        <v>1113.1200000000003</v>
      </c>
      <c r="G90" s="302">
        <v>6606.850000000002</v>
      </c>
      <c r="H90" s="302">
        <v>6448.459999999996</v>
      </c>
      <c r="I90" s="302">
        <v>757.8000000000001</v>
      </c>
      <c r="J90" s="391">
        <v>0</v>
      </c>
    </row>
    <row r="91" spans="1:10" ht="12.75" hidden="1">
      <c r="A91" s="390"/>
      <c r="B91" s="390" t="s">
        <v>182</v>
      </c>
      <c r="C91" s="391">
        <v>14658.619999999999</v>
      </c>
      <c r="D91" s="391">
        <v>0</v>
      </c>
      <c r="E91" s="391">
        <v>2717.5300000000007</v>
      </c>
      <c r="F91" s="391">
        <v>86.56</v>
      </c>
      <c r="G91" s="302">
        <v>5836.15</v>
      </c>
      <c r="H91" s="302">
        <v>5155.23</v>
      </c>
      <c r="I91" s="302">
        <v>863.1499999999999</v>
      </c>
      <c r="J91" s="391">
        <v>0</v>
      </c>
    </row>
    <row r="92" spans="1:10" ht="12.75" hidden="1">
      <c r="A92" s="390"/>
      <c r="B92" s="390" t="s">
        <v>242</v>
      </c>
      <c r="C92" s="391">
        <v>3015.3900000000003</v>
      </c>
      <c r="D92" s="391">
        <v>0</v>
      </c>
      <c r="E92" s="391">
        <v>159.3</v>
      </c>
      <c r="F92" s="391">
        <v>0</v>
      </c>
      <c r="G92" s="302">
        <v>1977.2099999999998</v>
      </c>
      <c r="H92" s="302">
        <v>252.25</v>
      </c>
      <c r="I92" s="302">
        <v>626.6300000000001</v>
      </c>
      <c r="J92" s="391">
        <v>0</v>
      </c>
    </row>
    <row r="94" spans="1:2" ht="12.75">
      <c r="A94" s="165" t="s">
        <v>243</v>
      </c>
      <c r="B94" s="165" t="s">
        <v>244</v>
      </c>
    </row>
    <row r="95" spans="3:8" ht="12.75">
      <c r="C95" s="165">
        <v>2010</v>
      </c>
      <c r="D95" s="165">
        <v>2011</v>
      </c>
      <c r="E95" s="165">
        <v>2012</v>
      </c>
      <c r="F95" s="165">
        <v>2013</v>
      </c>
      <c r="G95" s="390">
        <v>2014</v>
      </c>
      <c r="H95" s="390"/>
    </row>
    <row r="96" spans="2:9" ht="12.75">
      <c r="B96" s="165" t="s">
        <v>245</v>
      </c>
      <c r="C96" s="167">
        <f>SUM(C97:C101)</f>
        <v>205830.65709</v>
      </c>
      <c r="D96" s="167">
        <f>SUM(D97:D101)</f>
        <v>166635.65999999997</v>
      </c>
      <c r="E96" s="167">
        <f>SUM(E97:E101)</f>
        <v>155088.72999999998</v>
      </c>
      <c r="F96" s="167">
        <f>SUM(F97:F101)</f>
        <v>120364.93634</v>
      </c>
      <c r="G96" s="391">
        <f>SUM(G97:G101)</f>
        <v>107625.89999999997</v>
      </c>
      <c r="H96" s="390"/>
      <c r="I96" s="165" t="s">
        <v>643</v>
      </c>
    </row>
    <row r="97" spans="2:9" ht="12.75">
      <c r="B97" s="165" t="s">
        <v>216</v>
      </c>
      <c r="C97" s="167">
        <v>31465.074089999984</v>
      </c>
      <c r="D97" s="167">
        <v>21543.07999999999</v>
      </c>
      <c r="E97" s="167">
        <v>20562.189999999995</v>
      </c>
      <c r="F97" s="167">
        <v>19848.760919999993</v>
      </c>
      <c r="G97" s="391">
        <v>17724.95</v>
      </c>
      <c r="H97" s="394">
        <f>G97/$G$96</f>
        <v>0.16469037657292535</v>
      </c>
      <c r="I97" s="448">
        <v>0.055605936541040055</v>
      </c>
    </row>
    <row r="98" spans="2:9" ht="12.75">
      <c r="B98" s="165" t="s">
        <v>217</v>
      </c>
      <c r="C98" s="167">
        <v>70058.79463000002</v>
      </c>
      <c r="D98" s="167">
        <v>55502.76999999999</v>
      </c>
      <c r="E98" s="167">
        <v>54482.7</v>
      </c>
      <c r="F98" s="167">
        <v>38147.15823999999</v>
      </c>
      <c r="G98" s="391">
        <v>34561.630000000005</v>
      </c>
      <c r="H98" s="394">
        <f>G98/$G$96</f>
        <v>0.3211274423721429</v>
      </c>
      <c r="I98" s="448">
        <v>0.10494410062061373</v>
      </c>
    </row>
    <row r="99" spans="2:9" ht="12.75">
      <c r="B99" s="165" t="s">
        <v>218</v>
      </c>
      <c r="C99" s="167">
        <v>65495.137070000026</v>
      </c>
      <c r="D99" s="167">
        <v>55988.65999999996</v>
      </c>
      <c r="E99" s="167">
        <v>51836.61000000003</v>
      </c>
      <c r="F99" s="167">
        <v>38019.15058000003</v>
      </c>
      <c r="G99" s="391">
        <v>33129.26999999997</v>
      </c>
      <c r="H99" s="394">
        <f>G99/$G$96</f>
        <v>0.30781874994773545</v>
      </c>
      <c r="I99" s="448">
        <v>0.13212776290404787</v>
      </c>
    </row>
    <row r="100" spans="2:9" ht="12.75">
      <c r="B100" s="165" t="s">
        <v>219</v>
      </c>
      <c r="C100" s="167">
        <v>38655.30743999997</v>
      </c>
      <c r="D100" s="167">
        <v>33601.15000000002</v>
      </c>
      <c r="E100" s="167">
        <v>27999.429999999968</v>
      </c>
      <c r="F100" s="167">
        <v>24349.866599999998</v>
      </c>
      <c r="G100" s="391">
        <v>22210.04999999999</v>
      </c>
      <c r="H100" s="394">
        <f>G100/$G$96</f>
        <v>0.20636343110719627</v>
      </c>
      <c r="I100" s="448">
        <v>0.24026657521917083</v>
      </c>
    </row>
    <row r="101" spans="2:9" ht="12.75">
      <c r="B101" s="165" t="s">
        <v>220</v>
      </c>
      <c r="C101" s="167">
        <v>156.34386</v>
      </c>
      <c r="D101" s="167">
        <v>0</v>
      </c>
      <c r="E101" s="167">
        <v>207.8</v>
      </c>
      <c r="F101" s="167">
        <v>0</v>
      </c>
      <c r="G101" s="391">
        <v>0</v>
      </c>
      <c r="H101" s="394">
        <f>G101/$G$96</f>
        <v>0</v>
      </c>
      <c r="I101" s="448">
        <v>0</v>
      </c>
    </row>
    <row r="105" ht="12.75">
      <c r="B105" s="168"/>
    </row>
    <row r="106" ht="12.75">
      <c r="B106" s="168"/>
    </row>
    <row r="107" spans="2:7" ht="12.75">
      <c r="B107" s="169"/>
      <c r="C107" s="170"/>
      <c r="E107" s="170"/>
      <c r="F107" s="170"/>
      <c r="G107" s="170"/>
    </row>
    <row r="108" spans="2:7" ht="12.75">
      <c r="B108" s="169"/>
      <c r="C108" s="170"/>
      <c r="E108" s="170"/>
      <c r="F108" s="170"/>
      <c r="G108" s="170"/>
    </row>
    <row r="109" spans="2:7" ht="12.75">
      <c r="B109" s="169"/>
      <c r="C109" s="170"/>
      <c r="E109" s="170"/>
      <c r="F109" s="170"/>
      <c r="G109" s="170"/>
    </row>
    <row r="110" spans="2:7" ht="12.75">
      <c r="B110" s="169"/>
      <c r="C110" s="170"/>
      <c r="E110" s="170"/>
      <c r="F110" s="170"/>
      <c r="G110" s="170"/>
    </row>
    <row r="111" spans="2:7" ht="12.75">
      <c r="B111" s="169"/>
      <c r="C111" s="170"/>
      <c r="E111" s="170"/>
      <c r="F111" s="170"/>
      <c r="G111" s="170"/>
    </row>
    <row r="112" spans="2:7" ht="12.75">
      <c r="B112" s="169"/>
      <c r="C112" s="170"/>
      <c r="E112" s="170"/>
      <c r="F112" s="170"/>
      <c r="G112" s="170"/>
    </row>
    <row r="113" spans="2:7" ht="12.75">
      <c r="B113" s="169"/>
      <c r="C113" s="170"/>
      <c r="E113" s="170"/>
      <c r="F113" s="170"/>
      <c r="G113" s="170"/>
    </row>
    <row r="114" spans="2:7" ht="12.75">
      <c r="B114" s="169"/>
      <c r="C114" s="170"/>
      <c r="E114" s="170"/>
      <c r="F114" s="170"/>
      <c r="G114" s="170"/>
    </row>
    <row r="115" spans="2:7" ht="12.75">
      <c r="B115" s="169"/>
      <c r="C115" s="170"/>
      <c r="E115" s="170"/>
      <c r="F115" s="170"/>
      <c r="G115" s="170"/>
    </row>
    <row r="116" spans="2:7" ht="12.75">
      <c r="B116" s="169"/>
      <c r="C116" s="170"/>
      <c r="E116" s="170"/>
      <c r="F116" s="170"/>
      <c r="G116" s="170"/>
    </row>
    <row r="117" spans="2:7" ht="12.75">
      <c r="B117" s="169"/>
      <c r="C117" s="170"/>
      <c r="E117" s="170"/>
      <c r="F117" s="170"/>
      <c r="G117" s="170"/>
    </row>
    <row r="118" spans="2:7" ht="12.75">
      <c r="B118" s="169"/>
      <c r="C118" s="170"/>
      <c r="E118" s="170"/>
      <c r="F118" s="170"/>
      <c r="G118" s="170"/>
    </row>
    <row r="119" spans="2:7" ht="12.75">
      <c r="B119" s="169"/>
      <c r="C119" s="170"/>
      <c r="E119" s="170"/>
      <c r="F119" s="170"/>
      <c r="G119" s="170"/>
    </row>
    <row r="120" spans="2:7" ht="12.75">
      <c r="B120" s="169"/>
      <c r="C120" s="170"/>
      <c r="E120" s="170"/>
      <c r="F120" s="170"/>
      <c r="G120" s="170"/>
    </row>
    <row r="121" spans="2:7" ht="12.75">
      <c r="B121" s="169"/>
      <c r="C121" s="170"/>
      <c r="E121" s="170"/>
      <c r="F121" s="170"/>
      <c r="G121" s="170"/>
    </row>
    <row r="122" spans="2:7" ht="12.75">
      <c r="B122" s="169"/>
      <c r="C122" s="170"/>
      <c r="E122" s="170"/>
      <c r="F122" s="170"/>
      <c r="G122" s="170"/>
    </row>
    <row r="123" spans="2:3" ht="12.75">
      <c r="B123" s="169"/>
      <c r="C123" s="170"/>
    </row>
    <row r="124" spans="2:3" ht="12.75">
      <c r="B124" s="169"/>
      <c r="C124" s="170"/>
    </row>
    <row r="125" spans="2:3" ht="12.75">
      <c r="B125" s="169"/>
      <c r="C125" s="170"/>
    </row>
    <row r="126" spans="2:3" ht="12.75">
      <c r="B126" s="169"/>
      <c r="C126" s="170"/>
    </row>
    <row r="127" spans="2:3" ht="12.75">
      <c r="B127" s="169"/>
      <c r="C127" s="1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333333"/>
  </sheetPr>
  <dimension ref="B1:F38"/>
  <sheetViews>
    <sheetView zoomScale="70" zoomScaleNormal="70" zoomScalePageLayoutView="0" workbookViewId="0" topLeftCell="A1">
      <selection activeCell="C26" sqref="C26"/>
    </sheetView>
  </sheetViews>
  <sheetFormatPr defaultColWidth="9.00390625" defaultRowHeight="15.75"/>
  <cols>
    <col min="1" max="1" width="1.625" style="304" customWidth="1"/>
    <col min="2" max="2" width="71.625" style="304" customWidth="1"/>
    <col min="3" max="5" width="10.50390625" style="304" customWidth="1"/>
    <col min="6" max="6" width="12.125" style="304" customWidth="1"/>
    <col min="7" max="8" width="11.75390625" style="304" customWidth="1"/>
    <col min="9" max="16384" width="8.75390625" style="304" customWidth="1"/>
  </cols>
  <sheetData>
    <row r="1" spans="2:3" ht="12">
      <c r="B1" s="539" t="s">
        <v>296</v>
      </c>
      <c r="C1" s="539"/>
    </row>
    <row r="2" spans="2:3" ht="12">
      <c r="B2" s="362" t="s">
        <v>29</v>
      </c>
      <c r="C2" s="361">
        <f>'Soc.ek. analīze'!E37</f>
        <v>0.05</v>
      </c>
    </row>
    <row r="3" spans="2:3" ht="12">
      <c r="B3" s="362" t="s">
        <v>681</v>
      </c>
      <c r="C3" s="485">
        <f>Investicijas!D6</f>
        <v>60</v>
      </c>
    </row>
    <row r="4" spans="2:3" ht="12">
      <c r="B4" s="362" t="s">
        <v>598</v>
      </c>
      <c r="C4" s="489">
        <f>0.718213239788452</f>
        <v>0.718213239788452</v>
      </c>
    </row>
    <row r="5" spans="2:3" ht="12">
      <c r="B5" s="362" t="s">
        <v>669</v>
      </c>
      <c r="C5" s="489">
        <v>0.7</v>
      </c>
    </row>
    <row r="6" spans="2:3" ht="12">
      <c r="B6" s="357" t="s">
        <v>389</v>
      </c>
      <c r="C6" s="490">
        <f>4!E6</f>
        <v>0.045</v>
      </c>
    </row>
    <row r="7" spans="2:3" ht="12">
      <c r="B7" s="357" t="s">
        <v>300</v>
      </c>
      <c r="C7" s="361">
        <f>3!G6</f>
        <v>0.23</v>
      </c>
    </row>
    <row r="8" spans="2:3" ht="12">
      <c r="B8" s="305"/>
      <c r="C8" s="303"/>
    </row>
    <row r="9" spans="2:3" ht="12">
      <c r="B9" s="357" t="s">
        <v>156</v>
      </c>
      <c r="C9" s="358">
        <f>1!G39</f>
        <v>2022</v>
      </c>
    </row>
    <row r="10" spans="2:6" ht="12">
      <c r="B10" s="470"/>
      <c r="C10" s="486" t="s">
        <v>667</v>
      </c>
      <c r="D10" s="486" t="s">
        <v>708</v>
      </c>
      <c r="E10" s="486" t="s">
        <v>411</v>
      </c>
      <c r="F10" s="486" t="s">
        <v>665</v>
      </c>
    </row>
    <row r="11" spans="2:3" ht="12">
      <c r="B11" s="357" t="s">
        <v>391</v>
      </c>
      <c r="C11" s="441">
        <f>'Izglītojamie - bez projekta'!G6</f>
        <v>0.005038069111359956</v>
      </c>
    </row>
    <row r="12" spans="2:6" ht="12">
      <c r="B12" s="357" t="s">
        <v>297</v>
      </c>
      <c r="C12" s="359">
        <f>-'Prof &amp; Augst'!F21</f>
        <v>0.09447655052961162</v>
      </c>
      <c r="D12" s="359">
        <v>0.06</v>
      </c>
      <c r="E12" s="359">
        <f>C12-D12</f>
        <v>0.03447655052961163</v>
      </c>
      <c r="F12" s="361">
        <f>E12/10</f>
        <v>0.003447655052961163</v>
      </c>
    </row>
    <row r="13" spans="2:3" ht="12">
      <c r="B13" s="357" t="s">
        <v>390</v>
      </c>
      <c r="C13" s="359">
        <f>2!F17</f>
        <v>0.13081705206858582</v>
      </c>
    </row>
    <row r="14" ht="12">
      <c r="B14" s="360"/>
    </row>
    <row r="15" spans="2:3" ht="12">
      <c r="B15" s="364" t="s">
        <v>392</v>
      </c>
      <c r="C15" s="363">
        <v>2017</v>
      </c>
    </row>
    <row r="16" spans="2:3" ht="12">
      <c r="B16" s="357" t="s">
        <v>393</v>
      </c>
      <c r="C16" s="441">
        <f>'Izglītojamie - ar projektu'!H10</f>
        <v>0.5522622275484982</v>
      </c>
    </row>
    <row r="17" spans="2:3" ht="12">
      <c r="B17" s="357" t="s">
        <v>394</v>
      </c>
      <c r="C17" s="441">
        <f>'Izglītojamie - ar projektu'!H11</f>
        <v>0.3627377724515018</v>
      </c>
    </row>
    <row r="18" spans="2:3" ht="12">
      <c r="B18" s="357" t="s">
        <v>395</v>
      </c>
      <c r="C18" s="441">
        <f>'Izglītojamie - ar projektu'!H12</f>
        <v>0.085</v>
      </c>
    </row>
    <row r="19" ht="12"/>
    <row r="20" spans="2:6" ht="22.5">
      <c r="B20" s="387" t="s">
        <v>247</v>
      </c>
      <c r="C20" s="429" t="s">
        <v>396</v>
      </c>
      <c r="D20" s="429" t="s">
        <v>562</v>
      </c>
      <c r="E20" s="429" t="s">
        <v>566</v>
      </c>
      <c r="F20" s="429" t="s">
        <v>158</v>
      </c>
    </row>
    <row r="21" spans="2:6" ht="24">
      <c r="B21" s="395" t="s">
        <v>54</v>
      </c>
      <c r="C21" s="396">
        <f>'Algas pa līmeņiem'!C97</f>
        <v>1.6529562982005142</v>
      </c>
      <c r="D21" s="396">
        <f>'Algas pa līmeņiem'!D97</f>
        <v>1.2185089974293057</v>
      </c>
      <c r="E21" s="396">
        <f>'Algas pa līmeņiem'!E97</f>
        <v>1.254498714652956</v>
      </c>
      <c r="F21" s="396">
        <f>'Algas pa līmeņiem'!F97</f>
        <v>1</v>
      </c>
    </row>
    <row r="22" spans="2:6" ht="24">
      <c r="B22" s="395" t="s">
        <v>55</v>
      </c>
      <c r="C22" s="396">
        <f>'Algas pa līmeņiem'!C98</f>
        <v>1.8026386192380262</v>
      </c>
      <c r="D22" s="396">
        <f>'Algas pa līmeņiem'!D98</f>
        <v>1.1407741470575485</v>
      </c>
      <c r="E22" s="396">
        <f>'Algas pa līmeņiem'!E98</f>
        <v>1.101282073814748</v>
      </c>
      <c r="F22" s="396">
        <f>'Algas pa līmeņiem'!F98</f>
        <v>0.9999999999999999</v>
      </c>
    </row>
    <row r="23" spans="2:6" ht="24">
      <c r="B23" s="395" t="s">
        <v>56</v>
      </c>
      <c r="C23" s="396">
        <f>'Algas pa līmeņiem'!C99</f>
        <v>2.4265734265734267</v>
      </c>
      <c r="D23" s="396">
        <f>'Algas pa līmeņiem'!D99</f>
        <v>1.2890442890442888</v>
      </c>
      <c r="E23" s="396">
        <f>'Algas pa līmeņiem'!E99</f>
        <v>1.1724941724941724</v>
      </c>
      <c r="F23" s="396">
        <f>'Algas pa līmeņiem'!F99</f>
        <v>1</v>
      </c>
    </row>
    <row r="24" spans="2:6" ht="24">
      <c r="B24" s="395" t="s">
        <v>57</v>
      </c>
      <c r="C24" s="396">
        <f>'Algas pa līmeņiem'!C100</f>
        <v>1.7164556962025317</v>
      </c>
      <c r="D24" s="396">
        <f>'Algas pa līmeņiem'!D100</f>
        <v>1.0582278481012657</v>
      </c>
      <c r="E24" s="396">
        <f>'Algas pa līmeņiem'!E100</f>
        <v>1.2759493670886077</v>
      </c>
      <c r="F24" s="396">
        <f>'Algas pa līmeņiem'!F100</f>
        <v>1</v>
      </c>
    </row>
    <row r="25" ht="12"/>
    <row r="26" spans="2:3" ht="51">
      <c r="B26" s="74" t="s">
        <v>60</v>
      </c>
      <c r="C26" s="74" t="s">
        <v>61</v>
      </c>
    </row>
    <row r="27" spans="2:3" ht="14.25">
      <c r="B27" s="468" t="s">
        <v>668</v>
      </c>
      <c r="C27" s="469">
        <f>1/30</f>
        <v>0.03333333333333333</v>
      </c>
    </row>
    <row r="28" spans="2:3" ht="14.25">
      <c r="B28" s="468" t="s">
        <v>716</v>
      </c>
      <c r="C28" s="469">
        <v>0.0067</v>
      </c>
    </row>
    <row r="29" spans="2:3" ht="14.25">
      <c r="B29" s="468" t="s">
        <v>717</v>
      </c>
      <c r="C29" s="469">
        <v>0.01</v>
      </c>
    </row>
    <row r="30" spans="2:3" ht="14.25">
      <c r="B30" s="468" t="s">
        <v>645</v>
      </c>
      <c r="C30" s="469">
        <v>0.0333</v>
      </c>
    </row>
    <row r="31" spans="2:3" ht="14.25">
      <c r="B31" s="468" t="s">
        <v>646</v>
      </c>
      <c r="C31" s="469">
        <v>0.0667</v>
      </c>
    </row>
    <row r="32" spans="2:3" ht="14.25">
      <c r="B32" s="468" t="s">
        <v>649</v>
      </c>
      <c r="C32" s="469">
        <v>0.05</v>
      </c>
    </row>
    <row r="33" spans="2:3" ht="14.25">
      <c r="B33" s="468" t="s">
        <v>66</v>
      </c>
      <c r="C33" s="469">
        <v>0.0333</v>
      </c>
    </row>
    <row r="34" spans="2:3" ht="14.25">
      <c r="B34" s="468" t="s">
        <v>67</v>
      </c>
      <c r="C34" s="469">
        <v>0.1</v>
      </c>
    </row>
    <row r="35" spans="2:3" ht="14.25">
      <c r="B35" s="468" t="s">
        <v>69</v>
      </c>
      <c r="C35" s="469">
        <v>0.2</v>
      </c>
    </row>
    <row r="36" spans="2:3" ht="14.25">
      <c r="B36" s="468" t="s">
        <v>647</v>
      </c>
      <c r="C36" s="469">
        <v>0.2</v>
      </c>
    </row>
    <row r="37" spans="2:3" ht="14.25">
      <c r="B37" s="468" t="s">
        <v>648</v>
      </c>
      <c r="C37" s="469">
        <v>0.1</v>
      </c>
    </row>
    <row r="38" spans="2:3" ht="14.25">
      <c r="B38" s="468" t="s">
        <v>71</v>
      </c>
      <c r="C38" s="469">
        <v>0.06673</v>
      </c>
    </row>
  </sheetData>
  <sheetProtection/>
  <mergeCells count="1">
    <mergeCell ref="B1:C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D39"/>
  <sheetViews>
    <sheetView zoomScale="55" zoomScaleNormal="55" zoomScalePageLayoutView="0" workbookViewId="0" topLeftCell="D1">
      <selection activeCell="B93" sqref="B93"/>
    </sheetView>
  </sheetViews>
  <sheetFormatPr defaultColWidth="9.00390625" defaultRowHeight="15.75"/>
  <cols>
    <col min="1" max="1" width="2.50390625" style="152" customWidth="1"/>
    <col min="2" max="2" width="2.25390625" style="152" hidden="1" customWidth="1"/>
    <col min="3" max="3" width="75.375" style="152" customWidth="1"/>
    <col min="4" max="4" width="9.875" style="152" customWidth="1"/>
    <col min="5" max="5" width="5.50390625" style="152" hidden="1" customWidth="1"/>
    <col min="6" max="6" width="4.125" style="152" hidden="1" customWidth="1"/>
    <col min="7" max="7" width="5.50390625" style="152" customWidth="1"/>
    <col min="8" max="10" width="9.125" style="152" customWidth="1"/>
    <col min="11" max="11" width="9.625" style="152" customWidth="1"/>
    <col min="12" max="17" width="8.875" style="152" bestFit="1" customWidth="1"/>
    <col min="18" max="27" width="9.50390625" style="152" bestFit="1" customWidth="1"/>
    <col min="28" max="16384" width="8.75390625" style="152" customWidth="1"/>
  </cols>
  <sheetData>
    <row r="1" spans="1:28" s="154" customFormat="1" ht="12.75">
      <c r="A1" s="153"/>
      <c r="B1" s="150"/>
      <c r="C1" s="151"/>
      <c r="D1" s="151"/>
      <c r="E1" s="151"/>
      <c r="F1" s="151"/>
      <c r="G1" s="151">
        <v>0</v>
      </c>
      <c r="H1" s="151">
        <v>1</v>
      </c>
      <c r="I1" s="151">
        <v>2</v>
      </c>
      <c r="J1" s="151">
        <v>3</v>
      </c>
      <c r="K1" s="151">
        <v>4</v>
      </c>
      <c r="L1" s="151">
        <v>5</v>
      </c>
      <c r="M1" s="151">
        <v>6</v>
      </c>
      <c r="N1" s="151">
        <v>7</v>
      </c>
      <c r="O1" s="151">
        <v>8</v>
      </c>
      <c r="P1" s="151">
        <v>9</v>
      </c>
      <c r="Q1" s="151">
        <v>10</v>
      </c>
      <c r="R1" s="151">
        <v>11</v>
      </c>
      <c r="S1" s="151">
        <v>12</v>
      </c>
      <c r="T1" s="151">
        <v>13</v>
      </c>
      <c r="U1" s="151">
        <v>14</v>
      </c>
      <c r="V1" s="151">
        <v>15</v>
      </c>
      <c r="W1" s="151">
        <v>16</v>
      </c>
      <c r="X1" s="151">
        <v>17</v>
      </c>
      <c r="Y1" s="151">
        <v>18</v>
      </c>
      <c r="Z1" s="151">
        <v>19</v>
      </c>
      <c r="AA1" s="151">
        <v>20</v>
      </c>
      <c r="AB1" s="151"/>
    </row>
    <row r="2" spans="1:28" s="159" customFormat="1" ht="12.75">
      <c r="A2" s="157"/>
      <c r="B2" s="150"/>
      <c r="C2" s="157"/>
      <c r="D2" s="157" t="s">
        <v>3</v>
      </c>
      <c r="E2" s="157"/>
      <c r="F2" s="157"/>
      <c r="G2" s="158">
        <v>2016</v>
      </c>
      <c r="H2" s="161">
        <v>2017</v>
      </c>
      <c r="I2" s="161">
        <v>2018</v>
      </c>
      <c r="J2" s="161">
        <v>2019</v>
      </c>
      <c r="K2" s="161">
        <v>2020</v>
      </c>
      <c r="L2" s="162">
        <v>2021</v>
      </c>
      <c r="M2" s="162">
        <v>2022</v>
      </c>
      <c r="N2" s="162">
        <v>2023</v>
      </c>
      <c r="O2" s="162">
        <v>2024</v>
      </c>
      <c r="P2" s="162">
        <v>2025</v>
      </c>
      <c r="Q2" s="162">
        <v>2026</v>
      </c>
      <c r="R2" s="162">
        <v>2027</v>
      </c>
      <c r="S2" s="162">
        <v>2028</v>
      </c>
      <c r="T2" s="162">
        <v>2029</v>
      </c>
      <c r="U2" s="162">
        <v>2030</v>
      </c>
      <c r="V2" s="162">
        <v>2031</v>
      </c>
      <c r="W2" s="162">
        <v>2032</v>
      </c>
      <c r="X2" s="162">
        <v>2033</v>
      </c>
      <c r="Y2" s="162">
        <v>2034</v>
      </c>
      <c r="Z2" s="162">
        <v>2035</v>
      </c>
      <c r="AA2" s="162">
        <v>2036</v>
      </c>
      <c r="AB2" s="158" t="s">
        <v>21</v>
      </c>
    </row>
    <row r="3" spans="1:30" ht="12.75">
      <c r="A3" s="163">
        <v>0</v>
      </c>
      <c r="B3" s="163"/>
      <c r="C3" s="163" t="s">
        <v>595</v>
      </c>
      <c r="D3" s="163"/>
      <c r="E3" s="163"/>
      <c r="F3" s="262"/>
      <c r="G3" s="244"/>
      <c r="H3" s="244"/>
      <c r="I3" s="262"/>
      <c r="J3" s="262"/>
      <c r="K3" s="262"/>
      <c r="L3" s="262"/>
      <c r="M3" s="262"/>
      <c r="N3" s="262"/>
      <c r="O3" s="262"/>
      <c r="P3" s="262"/>
      <c r="Q3" s="262"/>
      <c r="R3" s="262"/>
      <c r="S3" s="262"/>
      <c r="T3" s="262"/>
      <c r="U3" s="262"/>
      <c r="V3" s="262"/>
      <c r="W3" s="262"/>
      <c r="X3" s="262"/>
      <c r="Y3" s="262"/>
      <c r="Z3" s="262"/>
      <c r="AA3" s="262"/>
      <c r="AB3" s="262"/>
      <c r="AC3" s="262"/>
      <c r="AD3" s="163"/>
    </row>
    <row r="4" spans="3:4" ht="12.75">
      <c r="C4" s="152" t="s">
        <v>700</v>
      </c>
      <c r="D4" s="152">
        <v>62</v>
      </c>
    </row>
    <row r="5" spans="3:4" ht="12.75">
      <c r="C5" s="152" t="s">
        <v>701</v>
      </c>
      <c r="D5" s="152">
        <v>86</v>
      </c>
    </row>
    <row r="6" spans="3:8" ht="12.75">
      <c r="C6" s="152" t="s">
        <v>644</v>
      </c>
      <c r="D6" s="309">
        <v>60</v>
      </c>
      <c r="H6" s="436"/>
    </row>
    <row r="7" ht="12.75"/>
    <row r="8" spans="3:4" ht="12.75">
      <c r="C8" s="152" t="s">
        <v>596</v>
      </c>
      <c r="D8" s="152">
        <v>104</v>
      </c>
    </row>
    <row r="9" spans="3:4" ht="12.75" customHeight="1">
      <c r="C9" s="152" t="s">
        <v>597</v>
      </c>
      <c r="D9" s="152">
        <f>D8*D6</f>
        <v>6240</v>
      </c>
    </row>
    <row r="11" spans="3:4" ht="12.75">
      <c r="C11" s="152" t="s">
        <v>604</v>
      </c>
      <c r="D11" s="307">
        <v>0.099</v>
      </c>
    </row>
    <row r="12" spans="3:4" ht="12.75">
      <c r="C12" s="152" t="s">
        <v>657</v>
      </c>
      <c r="D12" s="307">
        <v>0.055</v>
      </c>
    </row>
    <row r="13" spans="3:4" ht="12.75">
      <c r="C13" s="152" t="s">
        <v>655</v>
      </c>
      <c r="D13" s="307">
        <f>D11-D12</f>
        <v>0.044000000000000004</v>
      </c>
    </row>
    <row r="14" ht="12.75">
      <c r="D14" s="307"/>
    </row>
    <row r="15" spans="1:30" ht="12.75">
      <c r="A15" s="163"/>
      <c r="B15" s="163"/>
      <c r="C15" s="163" t="s">
        <v>604</v>
      </c>
      <c r="D15" s="163"/>
      <c r="E15" s="163"/>
      <c r="F15" s="262"/>
      <c r="G15" s="244"/>
      <c r="H15" s="244"/>
      <c r="I15" s="262"/>
      <c r="J15" s="262"/>
      <c r="K15" s="262"/>
      <c r="L15" s="262"/>
      <c r="M15" s="262"/>
      <c r="N15" s="262"/>
      <c r="O15" s="262"/>
      <c r="P15" s="262"/>
      <c r="Q15" s="262"/>
      <c r="R15" s="262"/>
      <c r="S15" s="262"/>
      <c r="T15" s="262"/>
      <c r="U15" s="262"/>
      <c r="V15" s="262"/>
      <c r="W15" s="262"/>
      <c r="X15" s="262"/>
      <c r="Y15" s="262"/>
      <c r="Z15" s="262"/>
      <c r="AA15" s="262"/>
      <c r="AB15" s="262"/>
      <c r="AC15" s="262"/>
      <c r="AD15" s="163"/>
    </row>
    <row r="16" spans="3:27" ht="12.75">
      <c r="C16" s="175" t="s">
        <v>605</v>
      </c>
      <c r="D16" s="437"/>
      <c r="H16" s="160">
        <f>'Izglītojamie - bez projekta'!H8*$D$13</f>
        <v>795.1894945570954</v>
      </c>
      <c r="I16" s="160">
        <f>'Izglītojamie - bez projekta'!I8*$D$13</f>
        <v>809.1083288804894</v>
      </c>
      <c r="J16" s="160">
        <f>'Izglītojamie - bez projekta'!J8*$D$13</f>
        <v>812.8341237735253</v>
      </c>
      <c r="K16" s="160">
        <f>'Izglītojamie - bez projekta'!K8*$D$13</f>
        <v>795.0954755829008</v>
      </c>
      <c r="L16" s="160">
        <f>'Izglītojamie - bez projekta'!L8*$D$13</f>
        <v>831.4112550359878</v>
      </c>
      <c r="M16" s="160">
        <f>'Izglītojamie - bez projekta'!M8*$D$13</f>
        <v>859.6714777059459</v>
      </c>
      <c r="N16" s="160">
        <f>'Izglītojamie - bez projekta'!N8*$D$13</f>
        <v>903.2568376328466</v>
      </c>
      <c r="O16" s="160">
        <f>'Izglītojamie - bez projekta'!O8*$D$13</f>
        <v>941.6109461037962</v>
      </c>
      <c r="P16" s="160">
        <f>'Izglītojamie - bez projekta'!P8*$D$13</f>
        <v>861.388</v>
      </c>
      <c r="Q16" s="160">
        <f>'Izglītojamie - bez projekta'!Q8*$D$13</f>
        <v>835.296</v>
      </c>
      <c r="R16" s="160">
        <f>'Izglītojamie - bez projekta'!R8*$D$13</f>
        <v>794.9040000000001</v>
      </c>
      <c r="S16" s="160">
        <f>'Izglītojamie - bez projekta'!S8*$D$13</f>
        <v>840.1800000000001</v>
      </c>
      <c r="T16" s="160">
        <f>'Izglītojamie - bez projekta'!T8*$D$13</f>
        <v>869.7040000000001</v>
      </c>
      <c r="U16" s="160">
        <f>'Izglītojamie - bez projekta'!U8*$D$13</f>
        <v>918.2800000000001</v>
      </c>
      <c r="V16" s="160">
        <f>'Izglītojamie - bez projekta'!V8*$D$13</f>
        <v>923.6480000000001</v>
      </c>
      <c r="W16" s="160">
        <f>'Izglītojamie - bez projekta'!W8*$D$13</f>
        <v>869.3520000000001</v>
      </c>
      <c r="X16" s="160">
        <f>'Izglītojamie - bez projekta'!X8*$D$13</f>
        <v>884.224</v>
      </c>
      <c r="Y16" s="160">
        <f>'Izglītojamie - bez projekta'!Y8*$D$13</f>
        <v>893.0240000000001</v>
      </c>
      <c r="Z16" s="160">
        <f>'Izglītojamie - bez projekta'!Z8*$D$13</f>
        <v>897.6880000000001</v>
      </c>
      <c r="AA16" s="160">
        <f>'Izglītojamie - bez projekta'!AB8*$D$13</f>
        <v>0</v>
      </c>
    </row>
    <row r="17" spans="4:27" ht="12.75">
      <c r="D17" s="437"/>
      <c r="H17" s="160"/>
      <c r="I17" s="160"/>
      <c r="J17" s="160"/>
      <c r="K17" s="160"/>
      <c r="L17" s="160"/>
      <c r="M17" s="160"/>
      <c r="N17" s="160"/>
      <c r="O17" s="160"/>
      <c r="P17" s="160"/>
      <c r="Q17" s="160"/>
      <c r="R17" s="160"/>
      <c r="S17" s="160"/>
      <c r="T17" s="160"/>
      <c r="U17" s="160"/>
      <c r="V17" s="160"/>
      <c r="W17" s="160"/>
      <c r="X17" s="160"/>
      <c r="Y17" s="160"/>
      <c r="Z17" s="160"/>
      <c r="AA17" s="160"/>
    </row>
    <row r="18" spans="3:27" ht="25.5">
      <c r="C18" s="155" t="s">
        <v>54</v>
      </c>
      <c r="D18" s="439">
        <v>0.012792953389608347</v>
      </c>
      <c r="H18" s="231">
        <f>ROUND(H$16*$D18,0)</f>
        <v>10</v>
      </c>
      <c r="I18" s="231">
        <f aca="true" t="shared" si="0" ref="I18:X21">ROUND(I$16*$D18,0)</f>
        <v>10</v>
      </c>
      <c r="J18" s="231">
        <f t="shared" si="0"/>
        <v>10</v>
      </c>
      <c r="K18" s="231">
        <f t="shared" si="0"/>
        <v>10</v>
      </c>
      <c r="L18" s="231">
        <f t="shared" si="0"/>
        <v>11</v>
      </c>
      <c r="M18" s="231">
        <f t="shared" si="0"/>
        <v>11</v>
      </c>
      <c r="N18" s="231">
        <f t="shared" si="0"/>
        <v>12</v>
      </c>
      <c r="O18" s="231">
        <f t="shared" si="0"/>
        <v>12</v>
      </c>
      <c r="P18" s="231">
        <f t="shared" si="0"/>
        <v>11</v>
      </c>
      <c r="Q18" s="231">
        <f t="shared" si="0"/>
        <v>11</v>
      </c>
      <c r="R18" s="231">
        <f t="shared" si="0"/>
        <v>10</v>
      </c>
      <c r="S18" s="231">
        <f t="shared" si="0"/>
        <v>11</v>
      </c>
      <c r="T18" s="231">
        <f t="shared" si="0"/>
        <v>11</v>
      </c>
      <c r="U18" s="231">
        <f t="shared" si="0"/>
        <v>12</v>
      </c>
      <c r="V18" s="231">
        <f t="shared" si="0"/>
        <v>12</v>
      </c>
      <c r="W18" s="231">
        <f t="shared" si="0"/>
        <v>11</v>
      </c>
      <c r="X18" s="231">
        <f t="shared" si="0"/>
        <v>11</v>
      </c>
      <c r="Y18" s="231">
        <f aca="true" t="shared" si="1" ref="Y18:AA21">ROUND(Y$16*$D18,0)</f>
        <v>11</v>
      </c>
      <c r="Z18" s="231">
        <f t="shared" si="1"/>
        <v>11</v>
      </c>
      <c r="AA18" s="231">
        <f t="shared" si="1"/>
        <v>0</v>
      </c>
    </row>
    <row r="19" spans="3:27" ht="25.5">
      <c r="C19" s="155" t="s">
        <v>55</v>
      </c>
      <c r="D19" s="439">
        <v>0.1042835421800451</v>
      </c>
      <c r="H19" s="231">
        <f>ROUND(H$16*$D19,0)</f>
        <v>83</v>
      </c>
      <c r="I19" s="231">
        <f t="shared" si="0"/>
        <v>84</v>
      </c>
      <c r="J19" s="231">
        <f t="shared" si="0"/>
        <v>85</v>
      </c>
      <c r="K19" s="231">
        <f t="shared" si="0"/>
        <v>83</v>
      </c>
      <c r="L19" s="231">
        <f t="shared" si="0"/>
        <v>87</v>
      </c>
      <c r="M19" s="231">
        <f t="shared" si="0"/>
        <v>90</v>
      </c>
      <c r="N19" s="231">
        <f t="shared" si="0"/>
        <v>94</v>
      </c>
      <c r="O19" s="231">
        <f t="shared" si="0"/>
        <v>98</v>
      </c>
      <c r="P19" s="231">
        <f t="shared" si="0"/>
        <v>90</v>
      </c>
      <c r="Q19" s="231">
        <f t="shared" si="0"/>
        <v>87</v>
      </c>
      <c r="R19" s="231">
        <f t="shared" si="0"/>
        <v>83</v>
      </c>
      <c r="S19" s="231">
        <f t="shared" si="0"/>
        <v>88</v>
      </c>
      <c r="T19" s="231">
        <f t="shared" si="0"/>
        <v>91</v>
      </c>
      <c r="U19" s="231">
        <f t="shared" si="0"/>
        <v>96</v>
      </c>
      <c r="V19" s="231">
        <f t="shared" si="0"/>
        <v>96</v>
      </c>
      <c r="W19" s="231">
        <f t="shared" si="0"/>
        <v>91</v>
      </c>
      <c r="X19" s="231">
        <f t="shared" si="0"/>
        <v>92</v>
      </c>
      <c r="Y19" s="231">
        <f t="shared" si="1"/>
        <v>93</v>
      </c>
      <c r="Z19" s="231">
        <f t="shared" si="1"/>
        <v>94</v>
      </c>
      <c r="AA19" s="231">
        <f t="shared" si="1"/>
        <v>0</v>
      </c>
    </row>
    <row r="20" spans="3:27" ht="25.5">
      <c r="C20" s="156" t="s">
        <v>56</v>
      </c>
      <c r="D20" s="439">
        <v>0.004299271221097887</v>
      </c>
      <c r="H20" s="231">
        <f>ROUND(H$16*$D20,0)</f>
        <v>3</v>
      </c>
      <c r="I20" s="231">
        <f t="shared" si="0"/>
        <v>3</v>
      </c>
      <c r="J20" s="231">
        <f t="shared" si="0"/>
        <v>3</v>
      </c>
      <c r="K20" s="231">
        <f t="shared" si="0"/>
        <v>3</v>
      </c>
      <c r="L20" s="231">
        <f t="shared" si="0"/>
        <v>4</v>
      </c>
      <c r="M20" s="231">
        <f t="shared" si="0"/>
        <v>4</v>
      </c>
      <c r="N20" s="231">
        <f t="shared" si="0"/>
        <v>4</v>
      </c>
      <c r="O20" s="231">
        <f t="shared" si="0"/>
        <v>4</v>
      </c>
      <c r="P20" s="231">
        <f t="shared" si="0"/>
        <v>4</v>
      </c>
      <c r="Q20" s="231">
        <f t="shared" si="0"/>
        <v>4</v>
      </c>
      <c r="R20" s="231">
        <f t="shared" si="0"/>
        <v>3</v>
      </c>
      <c r="S20" s="231">
        <f t="shared" si="0"/>
        <v>4</v>
      </c>
      <c r="T20" s="231">
        <f t="shared" si="0"/>
        <v>4</v>
      </c>
      <c r="U20" s="231">
        <f t="shared" si="0"/>
        <v>4</v>
      </c>
      <c r="V20" s="231">
        <f t="shared" si="0"/>
        <v>4</v>
      </c>
      <c r="W20" s="231">
        <f t="shared" si="0"/>
        <v>4</v>
      </c>
      <c r="X20" s="231">
        <f t="shared" si="0"/>
        <v>4</v>
      </c>
      <c r="Y20" s="231">
        <f t="shared" si="1"/>
        <v>4</v>
      </c>
      <c r="Z20" s="231">
        <f t="shared" si="1"/>
        <v>4</v>
      </c>
      <c r="AA20" s="231">
        <f t="shared" si="1"/>
        <v>0</v>
      </c>
    </row>
    <row r="21" spans="3:27" ht="25.5">
      <c r="C21" s="156" t="s">
        <v>57</v>
      </c>
      <c r="D21" s="439">
        <v>0.048864887537356475</v>
      </c>
      <c r="H21" s="231">
        <f>ROUND(H$16*$D21,0)</f>
        <v>39</v>
      </c>
      <c r="I21" s="231">
        <f t="shared" si="0"/>
        <v>40</v>
      </c>
      <c r="J21" s="231">
        <f t="shared" si="0"/>
        <v>40</v>
      </c>
      <c r="K21" s="231">
        <f t="shared" si="0"/>
        <v>39</v>
      </c>
      <c r="L21" s="231">
        <f t="shared" si="0"/>
        <v>41</v>
      </c>
      <c r="M21" s="231">
        <f t="shared" si="0"/>
        <v>42</v>
      </c>
      <c r="N21" s="231">
        <f t="shared" si="0"/>
        <v>44</v>
      </c>
      <c r="O21" s="231">
        <f t="shared" si="0"/>
        <v>46</v>
      </c>
      <c r="P21" s="231">
        <f t="shared" si="0"/>
        <v>42</v>
      </c>
      <c r="Q21" s="231">
        <f t="shared" si="0"/>
        <v>41</v>
      </c>
      <c r="R21" s="231">
        <f t="shared" si="0"/>
        <v>39</v>
      </c>
      <c r="S21" s="231">
        <f t="shared" si="0"/>
        <v>41</v>
      </c>
      <c r="T21" s="231">
        <f t="shared" si="0"/>
        <v>42</v>
      </c>
      <c r="U21" s="231">
        <f t="shared" si="0"/>
        <v>45</v>
      </c>
      <c r="V21" s="231">
        <f t="shared" si="0"/>
        <v>45</v>
      </c>
      <c r="W21" s="231">
        <f t="shared" si="0"/>
        <v>42</v>
      </c>
      <c r="X21" s="231">
        <f t="shared" si="0"/>
        <v>43</v>
      </c>
      <c r="Y21" s="231">
        <f t="shared" si="1"/>
        <v>44</v>
      </c>
      <c r="Z21" s="231">
        <f t="shared" si="1"/>
        <v>44</v>
      </c>
      <c r="AA21" s="231">
        <f t="shared" si="1"/>
        <v>0</v>
      </c>
    </row>
    <row r="22" spans="3:27" ht="12.75">
      <c r="C22" s="440" t="s">
        <v>660</v>
      </c>
      <c r="D22" s="439"/>
      <c r="H22" s="231">
        <f>SUM(H18:H21)</f>
        <v>135</v>
      </c>
      <c r="I22" s="231">
        <f aca="true" t="shared" si="2" ref="I22:U22">SUM(I18:I21)</f>
        <v>137</v>
      </c>
      <c r="J22" s="231">
        <f t="shared" si="2"/>
        <v>138</v>
      </c>
      <c r="K22" s="231">
        <f t="shared" si="2"/>
        <v>135</v>
      </c>
      <c r="L22" s="231">
        <f t="shared" si="2"/>
        <v>143</v>
      </c>
      <c r="M22" s="231">
        <f t="shared" si="2"/>
        <v>147</v>
      </c>
      <c r="N22" s="231">
        <f t="shared" si="2"/>
        <v>154</v>
      </c>
      <c r="O22" s="231">
        <f t="shared" si="2"/>
        <v>160</v>
      </c>
      <c r="P22" s="231">
        <f t="shared" si="2"/>
        <v>147</v>
      </c>
      <c r="Q22" s="231">
        <f t="shared" si="2"/>
        <v>143</v>
      </c>
      <c r="R22" s="231">
        <f t="shared" si="2"/>
        <v>135</v>
      </c>
      <c r="S22" s="231">
        <f t="shared" si="2"/>
        <v>144</v>
      </c>
      <c r="T22" s="231">
        <f t="shared" si="2"/>
        <v>148</v>
      </c>
      <c r="U22" s="231">
        <f t="shared" si="2"/>
        <v>157</v>
      </c>
      <c r="V22" s="231">
        <f aca="true" t="shared" si="3" ref="V22:AA22">SUM(V18:V21)</f>
        <v>157</v>
      </c>
      <c r="W22" s="231">
        <f t="shared" si="3"/>
        <v>148</v>
      </c>
      <c r="X22" s="231">
        <f t="shared" si="3"/>
        <v>150</v>
      </c>
      <c r="Y22" s="231">
        <f t="shared" si="3"/>
        <v>152</v>
      </c>
      <c r="Z22" s="231">
        <f t="shared" si="3"/>
        <v>153</v>
      </c>
      <c r="AA22" s="231">
        <f t="shared" si="3"/>
        <v>0</v>
      </c>
    </row>
    <row r="23" ht="12.75" hidden="1">
      <c r="D23" s="175" t="s">
        <v>21</v>
      </c>
    </row>
    <row r="24" spans="3:27" ht="12.75" hidden="1">
      <c r="C24" s="175" t="s">
        <v>601</v>
      </c>
      <c r="D24" s="438">
        <f>SUM(H24:Z24)</f>
        <v>0</v>
      </c>
      <c r="H24" s="438">
        <f>Dati!C10</f>
        <v>0</v>
      </c>
      <c r="I24" s="438">
        <f>Dati!D10</f>
        <v>0</v>
      </c>
      <c r="J24" s="438">
        <f>Dati!E10</f>
        <v>0</v>
      </c>
      <c r="K24" s="438">
        <f>Dati!F10</f>
        <v>0</v>
      </c>
      <c r="L24" s="438">
        <f>Dati!G10</f>
        <v>0</v>
      </c>
      <c r="M24" s="438">
        <f>Dati!H10</f>
        <v>0</v>
      </c>
      <c r="N24" s="438">
        <f>Dati!I10</f>
        <v>0</v>
      </c>
      <c r="O24" s="438">
        <f>Dati!J10</f>
        <v>0</v>
      </c>
      <c r="P24" s="438">
        <f>Dati!K10</f>
        <v>0</v>
      </c>
      <c r="Q24" s="438">
        <f>Dati!L10</f>
        <v>0</v>
      </c>
      <c r="R24" s="438">
        <f>Dati!M10</f>
        <v>0</v>
      </c>
      <c r="S24" s="438">
        <f>Dati!N10</f>
        <v>0</v>
      </c>
      <c r="T24" s="438">
        <f>Dati!O10</f>
        <v>0</v>
      </c>
      <c r="U24" s="438">
        <f>Dati!P10</f>
        <v>0</v>
      </c>
      <c r="V24" s="438">
        <f>Dati!Q10</f>
        <v>0</v>
      </c>
      <c r="W24" s="438">
        <f>Dati!R10</f>
        <v>0</v>
      </c>
      <c r="X24" s="438">
        <f>Dati!S10</f>
        <v>0</v>
      </c>
      <c r="Y24" s="438">
        <f>Dati!T10</f>
        <v>0</v>
      </c>
      <c r="Z24" s="438">
        <f>Dati!U10</f>
        <v>0</v>
      </c>
      <c r="AA24" s="438">
        <f>Dati!V10</f>
        <v>0</v>
      </c>
    </row>
    <row r="25" spans="3:27" ht="12.75" hidden="1">
      <c r="C25" s="175" t="s">
        <v>656</v>
      </c>
      <c r="D25" s="438">
        <f>SUM(H25:Z25)</f>
        <v>0</v>
      </c>
      <c r="H25" s="152">
        <f>ROUND(H24/1000000*$D$6,0)</f>
        <v>0</v>
      </c>
      <c r="I25" s="152">
        <f>ROUND(I24/1000000*$D$6,0)</f>
        <v>0</v>
      </c>
      <c r="J25" s="152">
        <f aca="true" t="shared" si="4" ref="J25:Z25">ROUND(J24/1000000*$D$6,0)</f>
        <v>0</v>
      </c>
      <c r="K25" s="152">
        <f t="shared" si="4"/>
        <v>0</v>
      </c>
      <c r="L25" s="152">
        <f t="shared" si="4"/>
        <v>0</v>
      </c>
      <c r="M25" s="152">
        <f t="shared" si="4"/>
        <v>0</v>
      </c>
      <c r="N25" s="152">
        <f t="shared" si="4"/>
        <v>0</v>
      </c>
      <c r="O25" s="152">
        <f t="shared" si="4"/>
        <v>0</v>
      </c>
      <c r="P25" s="152">
        <f t="shared" si="4"/>
        <v>0</v>
      </c>
      <c r="Q25" s="152">
        <f t="shared" si="4"/>
        <v>0</v>
      </c>
      <c r="R25" s="152">
        <f t="shared" si="4"/>
        <v>0</v>
      </c>
      <c r="S25" s="152">
        <f t="shared" si="4"/>
        <v>0</v>
      </c>
      <c r="T25" s="152">
        <f t="shared" si="4"/>
        <v>0</v>
      </c>
      <c r="U25" s="152">
        <f t="shared" si="4"/>
        <v>0</v>
      </c>
      <c r="V25" s="152">
        <f t="shared" si="4"/>
        <v>0</v>
      </c>
      <c r="W25" s="152">
        <f t="shared" si="4"/>
        <v>0</v>
      </c>
      <c r="X25" s="152">
        <f t="shared" si="4"/>
        <v>0</v>
      </c>
      <c r="Y25" s="152">
        <f t="shared" si="4"/>
        <v>0</v>
      </c>
      <c r="Z25" s="152">
        <f t="shared" si="4"/>
        <v>0</v>
      </c>
      <c r="AA25" s="152">
        <f>ROUND(AA24/1000000*$D$6,0)</f>
        <v>0</v>
      </c>
    </row>
    <row r="26" ht="12.75" hidden="1"/>
    <row r="27" spans="3:27" ht="12.75" hidden="1">
      <c r="C27" s="175" t="s">
        <v>658</v>
      </c>
      <c r="D27" s="477">
        <f>SUM(H27:Z27)</f>
        <v>0</v>
      </c>
      <c r="G27" s="479" t="e">
        <f>D27/$D$29</f>
        <v>#DIV/0!</v>
      </c>
      <c r="H27" s="160">
        <f>IF(H25&gt;H22,H22,H25)</f>
        <v>0</v>
      </c>
      <c r="I27" s="160">
        <f>IF(I25&gt;I22,I22,I25)</f>
        <v>0</v>
      </c>
      <c r="J27" s="160">
        <f aca="true" t="shared" si="5" ref="J27:Z27">IF(J25&gt;J22,J22,J25)</f>
        <v>0</v>
      </c>
      <c r="K27" s="160">
        <f t="shared" si="5"/>
        <v>0</v>
      </c>
      <c r="L27" s="160">
        <f t="shared" si="5"/>
        <v>0</v>
      </c>
      <c r="M27" s="160">
        <f t="shared" si="5"/>
        <v>0</v>
      </c>
      <c r="N27" s="160">
        <f t="shared" si="5"/>
        <v>0</v>
      </c>
      <c r="O27" s="160">
        <f t="shared" si="5"/>
        <v>0</v>
      </c>
      <c r="P27" s="160">
        <f t="shared" si="5"/>
        <v>0</v>
      </c>
      <c r="Q27" s="160">
        <f t="shared" si="5"/>
        <v>0</v>
      </c>
      <c r="R27" s="160">
        <f t="shared" si="5"/>
        <v>0</v>
      </c>
      <c r="S27" s="160">
        <f t="shared" si="5"/>
        <v>0</v>
      </c>
      <c r="T27" s="160">
        <f t="shared" si="5"/>
        <v>0</v>
      </c>
      <c r="U27" s="160">
        <f t="shared" si="5"/>
        <v>0</v>
      </c>
      <c r="V27" s="160">
        <f t="shared" si="5"/>
        <v>0</v>
      </c>
      <c r="W27" s="160">
        <f t="shared" si="5"/>
        <v>0</v>
      </c>
      <c r="X27" s="160">
        <f t="shared" si="5"/>
        <v>0</v>
      </c>
      <c r="Y27" s="160">
        <f t="shared" si="5"/>
        <v>0</v>
      </c>
      <c r="Z27" s="160">
        <f t="shared" si="5"/>
        <v>0</v>
      </c>
      <c r="AA27" s="160">
        <f>IF(AA25&gt;AA22,AA22,AA25)</f>
        <v>0</v>
      </c>
    </row>
    <row r="28" spans="3:27" ht="12.75" hidden="1">
      <c r="C28" s="175" t="s">
        <v>659</v>
      </c>
      <c r="D28" s="477">
        <f>SUM(H28:Z28)</f>
        <v>0</v>
      </c>
      <c r="G28" s="479" t="e">
        <f>D28/$D$29</f>
        <v>#DIV/0!</v>
      </c>
      <c r="H28" s="160">
        <f>H25-H27</f>
        <v>0</v>
      </c>
      <c r="I28" s="160">
        <f aca="true" t="shared" si="6" ref="I28:Z28">I25-I27</f>
        <v>0</v>
      </c>
      <c r="J28" s="160">
        <f t="shared" si="6"/>
        <v>0</v>
      </c>
      <c r="K28" s="160">
        <f t="shared" si="6"/>
        <v>0</v>
      </c>
      <c r="L28" s="160">
        <f t="shared" si="6"/>
        <v>0</v>
      </c>
      <c r="M28" s="160">
        <f t="shared" si="6"/>
        <v>0</v>
      </c>
      <c r="N28" s="160">
        <f t="shared" si="6"/>
        <v>0</v>
      </c>
      <c r="O28" s="160">
        <f t="shared" si="6"/>
        <v>0</v>
      </c>
      <c r="P28" s="160">
        <f t="shared" si="6"/>
        <v>0</v>
      </c>
      <c r="Q28" s="160">
        <f t="shared" si="6"/>
        <v>0</v>
      </c>
      <c r="R28" s="160">
        <f t="shared" si="6"/>
        <v>0</v>
      </c>
      <c r="S28" s="160">
        <f t="shared" si="6"/>
        <v>0</v>
      </c>
      <c r="T28" s="160">
        <f t="shared" si="6"/>
        <v>0</v>
      </c>
      <c r="U28" s="160">
        <f t="shared" si="6"/>
        <v>0</v>
      </c>
      <c r="V28" s="160">
        <f t="shared" si="6"/>
        <v>0</v>
      </c>
      <c r="W28" s="160">
        <f t="shared" si="6"/>
        <v>0</v>
      </c>
      <c r="X28" s="160">
        <f t="shared" si="6"/>
        <v>0</v>
      </c>
      <c r="Y28" s="160">
        <f t="shared" si="6"/>
        <v>0</v>
      </c>
      <c r="Z28" s="160">
        <f t="shared" si="6"/>
        <v>0</v>
      </c>
      <c r="AA28" s="160">
        <f>AA25-AA27</f>
        <v>0</v>
      </c>
    </row>
    <row r="29" ht="12.75" hidden="1">
      <c r="D29" s="478">
        <f>SUM(D27:D28)</f>
        <v>0</v>
      </c>
    </row>
    <row r="30" ht="12.75" hidden="1">
      <c r="D30" s="477"/>
    </row>
    <row r="31" ht="12.75">
      <c r="D31" s="477"/>
    </row>
    <row r="32" spans="3:27" ht="12.75">
      <c r="C32" s="175" t="s">
        <v>658</v>
      </c>
      <c r="D32" s="477">
        <f>SUM(H32:Z32)</f>
        <v>2180</v>
      </c>
      <c r="G32" s="437">
        <f>SUM(H32:U32)/SUM(H34:U34,H32:U32)</f>
        <v>0.3480529907667604</v>
      </c>
      <c r="H32" s="477">
        <f aca="true" t="shared" si="7" ref="H32:V32">H22</f>
        <v>135</v>
      </c>
      <c r="I32" s="477">
        <f t="shared" si="7"/>
        <v>137</v>
      </c>
      <c r="J32" s="477">
        <f t="shared" si="7"/>
        <v>138</v>
      </c>
      <c r="K32" s="477">
        <f t="shared" si="7"/>
        <v>135</v>
      </c>
      <c r="L32" s="477">
        <f t="shared" si="7"/>
        <v>143</v>
      </c>
      <c r="M32" s="477">
        <f t="shared" si="7"/>
        <v>147</v>
      </c>
      <c r="N32" s="477">
        <f t="shared" si="7"/>
        <v>154</v>
      </c>
      <c r="O32" s="477">
        <f t="shared" si="7"/>
        <v>160</v>
      </c>
      <c r="P32" s="477">
        <f t="shared" si="7"/>
        <v>147</v>
      </c>
      <c r="Q32" s="477">
        <f t="shared" si="7"/>
        <v>143</v>
      </c>
      <c r="R32" s="477">
        <f t="shared" si="7"/>
        <v>135</v>
      </c>
      <c r="S32" s="477">
        <f t="shared" si="7"/>
        <v>144</v>
      </c>
      <c r="T32" s="477">
        <f t="shared" si="7"/>
        <v>148</v>
      </c>
      <c r="U32" s="477">
        <f t="shared" si="7"/>
        <v>157</v>
      </c>
      <c r="V32" s="477">
        <f t="shared" si="7"/>
        <v>157</v>
      </c>
      <c r="W32" s="477"/>
      <c r="X32" s="477"/>
      <c r="Y32" s="477"/>
      <c r="Z32" s="477"/>
      <c r="AA32" s="477"/>
    </row>
    <row r="33" spans="3:27" ht="12.75">
      <c r="C33" s="175" t="s">
        <v>416</v>
      </c>
      <c r="D33" s="477"/>
      <c r="G33" s="437"/>
      <c r="H33" s="306">
        <f>H32/'Izglītojamie - bez projekta'!H8</f>
        <v>0.007469917599085564</v>
      </c>
      <c r="I33" s="306">
        <f>I32/'Izglītojamie - bez projekta'!I8</f>
        <v>0.0074501766757741235</v>
      </c>
      <c r="J33" s="306">
        <f>J32/'Izglītojamie - bez projekta'!J8</f>
        <v>0.00747015882134865</v>
      </c>
      <c r="K33" s="306">
        <f>K32/'Izglītojamie - bez projekta'!K8</f>
        <v>0.0074708009068285355</v>
      </c>
      <c r="L33" s="306">
        <f>L32/'Izglītojamie - bez projekta'!L8</f>
        <v>0.0075678552123132495</v>
      </c>
      <c r="M33" s="306">
        <f>M32/'Izglītojamie - bez projekta'!M8</f>
        <v>0.007523804345888054</v>
      </c>
      <c r="N33" s="306">
        <f>N32/'Izglītojamie - bez projekta'!N8</f>
        <v>0.007501742270512754</v>
      </c>
      <c r="O33" s="306">
        <f>O32/'Izglītojamie - bez projekta'!O8</f>
        <v>0.007476548599111085</v>
      </c>
      <c r="P33" s="306">
        <f>P32/'Izglītojamie - bez projekta'!P8</f>
        <v>0.0075088113602697045</v>
      </c>
      <c r="Q33" s="306">
        <f>Q32/'Izglītojamie - bez projekta'!Q8</f>
        <v>0.007532659081331648</v>
      </c>
      <c r="R33" s="306">
        <f>R32/'Izglītojamie - bez projekta'!R8</f>
        <v>0.007472600464961806</v>
      </c>
      <c r="S33" s="306">
        <f>S32/'Izglītojamie - bez projekta'!S8</f>
        <v>0.007541241162608013</v>
      </c>
      <c r="T33" s="306">
        <f>T32/'Izglītojamie - bez projekta'!T8</f>
        <v>0.007487604978245472</v>
      </c>
      <c r="U33" s="306">
        <f>U32/'Izglītojamie - bez projekta'!U8</f>
        <v>0.007522759942501198</v>
      </c>
      <c r="V33" s="306">
        <f>V32/'Izglītojamie - bez projekta'!V8</f>
        <v>0.007479039634146341</v>
      </c>
      <c r="W33" s="306"/>
      <c r="X33" s="306"/>
      <c r="Y33" s="306"/>
      <c r="Z33" s="306"/>
      <c r="AA33" s="306"/>
    </row>
    <row r="34" spans="3:27" ht="12.75">
      <c r="C34" s="175" t="s">
        <v>659</v>
      </c>
      <c r="D34" s="477">
        <f>D9-D32</f>
        <v>4060</v>
      </c>
      <c r="G34" s="437">
        <f>SUM(H34:U34)/SUM(H34:U34,H32:U32)</f>
        <v>0.6519470092332397</v>
      </c>
      <c r="H34" s="477">
        <f aca="true" t="shared" si="8" ref="H34:U34">$D$34/15</f>
        <v>270.6666666666667</v>
      </c>
      <c r="I34" s="477">
        <f t="shared" si="8"/>
        <v>270.6666666666667</v>
      </c>
      <c r="J34" s="477">
        <f t="shared" si="8"/>
        <v>270.6666666666667</v>
      </c>
      <c r="K34" s="477">
        <f t="shared" si="8"/>
        <v>270.6666666666667</v>
      </c>
      <c r="L34" s="477">
        <f t="shared" si="8"/>
        <v>270.6666666666667</v>
      </c>
      <c r="M34" s="477">
        <f t="shared" si="8"/>
        <v>270.6666666666667</v>
      </c>
      <c r="N34" s="477">
        <f t="shared" si="8"/>
        <v>270.6666666666667</v>
      </c>
      <c r="O34" s="477">
        <f t="shared" si="8"/>
        <v>270.6666666666667</v>
      </c>
      <c r="P34" s="477">
        <f t="shared" si="8"/>
        <v>270.6666666666667</v>
      </c>
      <c r="Q34" s="477">
        <f t="shared" si="8"/>
        <v>270.6666666666667</v>
      </c>
      <c r="R34" s="477">
        <f t="shared" si="8"/>
        <v>270.6666666666667</v>
      </c>
      <c r="S34" s="477">
        <f t="shared" si="8"/>
        <v>270.6666666666667</v>
      </c>
      <c r="T34" s="477">
        <f t="shared" si="8"/>
        <v>270.6666666666667</v>
      </c>
      <c r="U34" s="477">
        <f t="shared" si="8"/>
        <v>270.6666666666667</v>
      </c>
      <c r="V34" s="477">
        <f>$D$34/15</f>
        <v>270.6666666666667</v>
      </c>
      <c r="W34" s="477"/>
      <c r="X34" s="477"/>
      <c r="Y34" s="477"/>
      <c r="Z34" s="477"/>
      <c r="AA34" s="477"/>
    </row>
    <row r="35" spans="3:27" ht="12.75">
      <c r="C35" s="175" t="s">
        <v>416</v>
      </c>
      <c r="D35" s="477">
        <f>SUM(D32:D34)</f>
        <v>6240</v>
      </c>
      <c r="H35" s="306">
        <f>H34/'Izglītojamie - bez projekta'!H8</f>
        <v>0.014976723680141921</v>
      </c>
      <c r="I35" s="306">
        <f>I34/'Izglītojamie - bez projekta'!I8</f>
        <v>0.014719083846054961</v>
      </c>
      <c r="J35" s="306">
        <f>J34/'Izglītojamie - bez projekta'!J8</f>
        <v>0.01465161585250025</v>
      </c>
      <c r="K35" s="306">
        <f>K34/'Izglītojamie - bez projekta'!K8</f>
        <v>0.01497849465764141</v>
      </c>
      <c r="L35" s="306">
        <f>L34/'Izglītojamie - bez projekta'!L8</f>
        <v>0.014324238770159346</v>
      </c>
      <c r="M35" s="306">
        <f>M34/'Izglītojamie - bez projekta'!M8</f>
        <v>0.01385335403369864</v>
      </c>
      <c r="N35" s="306">
        <f>N34/'Izglītojamie - bez projekta'!N8</f>
        <v>0.013184880354234539</v>
      </c>
      <c r="O35" s="306">
        <f>O34/'Izglītojamie - bez projekta'!O8</f>
        <v>0.012647828046829587</v>
      </c>
      <c r="P35" s="306">
        <f>P34/'Izglītojamie - bez projekta'!P8</f>
        <v>0.01382574790144898</v>
      </c>
      <c r="Q35" s="306">
        <f>Q34/'Izglītojamie - bez projekta'!Q8</f>
        <v>0.014257620452310719</v>
      </c>
      <c r="R35" s="306">
        <f>R34/'Izglītojamie - bez projekta'!R8</f>
        <v>0.014982102660614784</v>
      </c>
      <c r="S35" s="306">
        <f>S34/'Izglītojamie - bez projekta'!S8</f>
        <v>0.014174740333420617</v>
      </c>
      <c r="T35" s="306">
        <f>T34/'Izglītojamie - bez projekta'!T8</f>
        <v>0.013693547843097576</v>
      </c>
      <c r="U35" s="306">
        <f>U34/'Izglītojamie - bez projekta'!U8</f>
        <v>0.012969174253314168</v>
      </c>
      <c r="V35" s="306">
        <f>V34/'Izglītojamie - bez projekta'!V8</f>
        <v>0.012893800813008132</v>
      </c>
      <c r="W35" s="437"/>
      <c r="X35" s="437"/>
      <c r="Y35" s="437"/>
      <c r="Z35" s="437"/>
      <c r="AA35" s="437"/>
    </row>
    <row r="36" spans="3:22" ht="12.75">
      <c r="C36" s="175" t="s">
        <v>670</v>
      </c>
      <c r="D36" s="437"/>
      <c r="H36" s="476">
        <f>H32/H34</f>
        <v>0.4987684729064039</v>
      </c>
      <c r="I36" s="476">
        <f aca="true" t="shared" si="9" ref="I36:U36">I32/I34</f>
        <v>0.5061576354679802</v>
      </c>
      <c r="J36" s="476">
        <f t="shared" si="9"/>
        <v>0.5098522167487685</v>
      </c>
      <c r="K36" s="476">
        <f t="shared" si="9"/>
        <v>0.4987684729064039</v>
      </c>
      <c r="L36" s="476">
        <f t="shared" si="9"/>
        <v>0.5283251231527093</v>
      </c>
      <c r="M36" s="476">
        <f t="shared" si="9"/>
        <v>0.543103448275862</v>
      </c>
      <c r="N36" s="476">
        <f t="shared" si="9"/>
        <v>0.5689655172413792</v>
      </c>
      <c r="O36" s="476">
        <f t="shared" si="9"/>
        <v>0.5911330049261083</v>
      </c>
      <c r="P36" s="476">
        <f t="shared" si="9"/>
        <v>0.543103448275862</v>
      </c>
      <c r="Q36" s="476">
        <f t="shared" si="9"/>
        <v>0.5283251231527093</v>
      </c>
      <c r="R36" s="476">
        <f t="shared" si="9"/>
        <v>0.4987684729064039</v>
      </c>
      <c r="S36" s="476">
        <f t="shared" si="9"/>
        <v>0.5320197044334976</v>
      </c>
      <c r="T36" s="476">
        <f t="shared" si="9"/>
        <v>0.5467980295566502</v>
      </c>
      <c r="U36" s="476">
        <f t="shared" si="9"/>
        <v>0.5800492610837438</v>
      </c>
      <c r="V36" s="476">
        <f>V32/V34</f>
        <v>0.5800492610837438</v>
      </c>
    </row>
    <row r="37" spans="3:22" ht="12.75">
      <c r="C37" s="175" t="s">
        <v>21</v>
      </c>
      <c r="H37" s="306">
        <f>(H32+H34)/'Izglītojamie - bez projekta'!H8</f>
        <v>0.022446641279227485</v>
      </c>
      <c r="I37" s="306">
        <f>(I32+I34)/'Izglītojamie - bez projekta'!I8</f>
        <v>0.022169260521829083</v>
      </c>
      <c r="J37" s="306">
        <f>(J32+J34)/'Izglītojamie - bez projekta'!J8</f>
        <v>0.0221217746738489</v>
      </c>
      <c r="K37" s="306">
        <f>(K32+K34)/'Izglītojamie - bez projekta'!K8</f>
        <v>0.022449295564469944</v>
      </c>
      <c r="L37" s="306">
        <f>(L32+L34)/'Izglītojamie - bez projekta'!L8</f>
        <v>0.021892093982472594</v>
      </c>
      <c r="M37" s="306">
        <f>(M32+M34)/'Izglītojamie - bez projekta'!M8</f>
        <v>0.021377158379586692</v>
      </c>
      <c r="N37" s="306">
        <f>(N32+N34)/'Izglītojamie - bez projekta'!N8</f>
        <v>0.020686622624747294</v>
      </c>
      <c r="O37" s="306">
        <f>(O32+O34)/'Izglītojamie - bez projekta'!O8</f>
        <v>0.020124376645940672</v>
      </c>
      <c r="P37" s="306">
        <f>(P32+P34)/'Izglītojamie - bez projekta'!P8</f>
        <v>0.021334559261718684</v>
      </c>
      <c r="Q37" s="306">
        <f>(Q32+Q34)/'Izglītojamie - bez projekta'!Q8</f>
        <v>0.021790279533642366</v>
      </c>
      <c r="R37" s="306">
        <f>(R32+R34)/'Izglītojamie - bez projekta'!R8</f>
        <v>0.02245470312557659</v>
      </c>
      <c r="S37" s="306">
        <f>(S32+S34)/'Izglītojamie - bez projekta'!S8</f>
        <v>0.02171598149602863</v>
      </c>
      <c r="T37" s="306">
        <f>(T32+T34)/'Izglītojamie - bez projekta'!T8</f>
        <v>0.021181152821343047</v>
      </c>
      <c r="U37" s="306">
        <f>(U32+U34)/'Izglītojamie - bez projekta'!U8</f>
        <v>0.020491934195815367</v>
      </c>
      <c r="V37" s="306">
        <f>(V32+V34)/'Izglītojamie - bez projekta'!V8</f>
        <v>0.020372840447154473</v>
      </c>
    </row>
    <row r="39" spans="4:17" ht="12.75">
      <c r="D39" s="437"/>
      <c r="E39" s="437"/>
      <c r="F39" s="437"/>
      <c r="G39" s="437"/>
      <c r="H39" s="437"/>
      <c r="I39" s="437"/>
      <c r="J39" s="437"/>
      <c r="K39" s="437"/>
      <c r="L39" s="437"/>
      <c r="M39" s="437"/>
      <c r="N39" s="437"/>
      <c r="O39" s="437"/>
      <c r="P39" s="437"/>
      <c r="Q39" s="437"/>
    </row>
  </sheetData>
  <sheetProtection/>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C187"/>
  <sheetViews>
    <sheetView showGridLines="0" zoomScale="55" zoomScaleNormal="55" zoomScalePageLayoutView="0" workbookViewId="0" topLeftCell="D1">
      <pane ySplit="3" topLeftCell="A4" activePane="bottomLeft" state="frozen"/>
      <selection pane="topLeft" activeCell="V8" sqref="V8:AA8"/>
      <selection pane="bottomLeft" activeCell="V8" sqref="V8:AA8"/>
    </sheetView>
  </sheetViews>
  <sheetFormatPr defaultColWidth="0" defaultRowHeight="15.75"/>
  <cols>
    <col min="1" max="1" width="3.125" style="152" customWidth="1"/>
    <col min="2" max="2" width="3.875" style="152" hidden="1" customWidth="1"/>
    <col min="3" max="3" width="68.50390625" style="152" customWidth="1"/>
    <col min="4" max="4" width="9.00390625" style="152" customWidth="1"/>
    <col min="5" max="5" width="9.00390625" style="152" hidden="1" customWidth="1"/>
    <col min="6" max="6" width="14.50390625" style="233" customWidth="1" collapsed="1"/>
    <col min="7" max="7" width="9.375" style="233" customWidth="1"/>
    <col min="8" max="9" width="10.375" style="152" bestFit="1" customWidth="1"/>
    <col min="10" max="28" width="9.00390625" style="152" customWidth="1"/>
    <col min="29" max="29" width="0" style="152" hidden="1" customWidth="1"/>
    <col min="30" max="16384" width="9.00390625" style="0" hidden="1" customWidth="1"/>
  </cols>
  <sheetData>
    <row r="1" spans="1:29" ht="15">
      <c r="A1" s="157" t="s">
        <v>252</v>
      </c>
      <c r="B1" s="150"/>
      <c r="C1" s="157"/>
      <c r="D1" s="157"/>
      <c r="E1" s="157"/>
      <c r="F1" s="280"/>
      <c r="G1" s="281"/>
      <c r="H1" s="151"/>
      <c r="I1" s="151"/>
      <c r="J1" s="151"/>
      <c r="K1" s="151"/>
      <c r="L1" s="151"/>
      <c r="M1" s="151"/>
      <c r="N1" s="151"/>
      <c r="O1" s="151"/>
      <c r="P1" s="151"/>
      <c r="Q1" s="151"/>
      <c r="R1" s="151"/>
      <c r="S1" s="151"/>
      <c r="T1" s="151"/>
      <c r="U1" s="151"/>
      <c r="V1" s="151"/>
      <c r="W1" s="151"/>
      <c r="X1" s="151"/>
      <c r="Y1" s="151"/>
      <c r="Z1" s="151"/>
      <c r="AA1" s="151"/>
      <c r="AB1" s="151"/>
      <c r="AC1" s="154"/>
    </row>
    <row r="2" spans="1:29" ht="15">
      <c r="A2" s="157"/>
      <c r="B2" s="150"/>
      <c r="C2" s="157" t="s">
        <v>254</v>
      </c>
      <c r="D2" s="151"/>
      <c r="E2" s="151"/>
      <c r="F2" s="282"/>
      <c r="G2" s="28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c r="AC2" s="154"/>
    </row>
    <row r="3" spans="1:29" ht="15">
      <c r="A3" s="157"/>
      <c r="B3" s="150"/>
      <c r="C3" s="157" t="s">
        <v>3</v>
      </c>
      <c r="D3" s="157"/>
      <c r="E3" s="157">
        <v>2014</v>
      </c>
      <c r="F3" s="151">
        <v>2015</v>
      </c>
      <c r="G3" s="151">
        <v>2016</v>
      </c>
      <c r="H3" s="151">
        <v>2017</v>
      </c>
      <c r="I3" s="151">
        <v>2018</v>
      </c>
      <c r="J3" s="151">
        <v>2019</v>
      </c>
      <c r="K3" s="151">
        <v>2020</v>
      </c>
      <c r="L3" s="151">
        <v>2021</v>
      </c>
      <c r="M3" s="151">
        <v>2022</v>
      </c>
      <c r="N3" s="151">
        <v>2023</v>
      </c>
      <c r="O3" s="151">
        <v>2024</v>
      </c>
      <c r="P3" s="151">
        <v>2025</v>
      </c>
      <c r="Q3" s="151">
        <v>2026</v>
      </c>
      <c r="R3" s="151">
        <v>2027</v>
      </c>
      <c r="S3" s="151">
        <v>2028</v>
      </c>
      <c r="T3" s="151">
        <v>2029</v>
      </c>
      <c r="U3" s="151">
        <v>2030</v>
      </c>
      <c r="V3" s="151">
        <v>2031</v>
      </c>
      <c r="W3" s="151">
        <v>2032</v>
      </c>
      <c r="X3" s="151">
        <v>2033</v>
      </c>
      <c r="Y3" s="151">
        <v>2034</v>
      </c>
      <c r="Z3" s="151">
        <v>2035</v>
      </c>
      <c r="AA3" s="151">
        <v>2036</v>
      </c>
      <c r="AB3" s="158" t="s">
        <v>21</v>
      </c>
      <c r="AC3" s="159"/>
    </row>
    <row r="4" spans="1:29" ht="15">
      <c r="A4" s="163" t="s">
        <v>150</v>
      </c>
      <c r="B4" s="163"/>
      <c r="C4" s="163" t="s">
        <v>255</v>
      </c>
      <c r="D4" s="163"/>
      <c r="E4" s="262"/>
      <c r="F4" s="244"/>
      <c r="G4" s="244"/>
      <c r="H4" s="262"/>
      <c r="I4" s="262"/>
      <c r="J4" s="262"/>
      <c r="K4" s="262"/>
      <c r="L4" s="262"/>
      <c r="M4" s="262"/>
      <c r="N4" s="262"/>
      <c r="O4" s="262"/>
      <c r="P4" s="262"/>
      <c r="Q4" s="262"/>
      <c r="R4" s="262"/>
      <c r="S4" s="262"/>
      <c r="T4" s="262"/>
      <c r="U4" s="262"/>
      <c r="V4" s="262"/>
      <c r="W4" s="262"/>
      <c r="X4" s="262"/>
      <c r="Y4" s="262"/>
      <c r="Z4" s="262"/>
      <c r="AA4" s="262"/>
      <c r="AB4" s="262"/>
      <c r="AC4" s="163"/>
    </row>
    <row r="5" spans="3:28" ht="15">
      <c r="C5" s="172" t="s">
        <v>682</v>
      </c>
      <c r="D5" s="152" t="s">
        <v>152</v>
      </c>
      <c r="E5" s="230"/>
      <c r="F5" s="246">
        <f>Pamatskolas!L102</f>
        <v>19073</v>
      </c>
      <c r="G5" s="249"/>
      <c r="H5" s="166"/>
      <c r="I5" s="265"/>
      <c r="J5" s="166"/>
      <c r="K5" s="166"/>
      <c r="L5" s="166"/>
      <c r="M5" s="166"/>
      <c r="N5" s="166"/>
      <c r="O5" s="166"/>
      <c r="P5" s="166"/>
      <c r="Q5" s="166"/>
      <c r="R5" s="166"/>
      <c r="S5" s="166"/>
      <c r="T5" s="166"/>
      <c r="U5" s="166"/>
      <c r="V5" s="166"/>
      <c r="W5" s="166"/>
      <c r="X5" s="166"/>
      <c r="Y5" s="166"/>
      <c r="Z5" s="166"/>
      <c r="AA5" s="166"/>
      <c r="AB5" s="166"/>
    </row>
    <row r="6" spans="3:28" ht="15">
      <c r="C6" s="240" t="s">
        <v>304</v>
      </c>
      <c r="E6" s="230"/>
      <c r="G6" s="373">
        <f>-Pamatskolas!M120/8</f>
        <v>0.005038069111359956</v>
      </c>
      <c r="H6" s="166"/>
      <c r="I6" s="265"/>
      <c r="J6" s="166"/>
      <c r="K6" s="166"/>
      <c r="L6" s="166"/>
      <c r="M6" s="166"/>
      <c r="N6" s="166"/>
      <c r="O6" s="166"/>
      <c r="P6" s="166"/>
      <c r="Q6" s="166"/>
      <c r="R6" s="166"/>
      <c r="S6" s="166"/>
      <c r="T6" s="166"/>
      <c r="U6" s="166"/>
      <c r="V6" s="166"/>
      <c r="W6" s="166"/>
      <c r="X6" s="166"/>
      <c r="Y6" s="166"/>
      <c r="Z6" s="166"/>
      <c r="AA6" s="166"/>
      <c r="AB6" s="166"/>
    </row>
    <row r="7" spans="1:29" ht="15">
      <c r="A7" s="206"/>
      <c r="B7" s="206"/>
      <c r="C7" s="206" t="s">
        <v>282</v>
      </c>
      <c r="D7" s="206"/>
      <c r="E7" s="263"/>
      <c r="F7" s="245"/>
      <c r="G7" s="245"/>
      <c r="H7" s="263"/>
      <c r="I7" s="263"/>
      <c r="J7" s="263"/>
      <c r="K7" s="263"/>
      <c r="L7" s="263"/>
      <c r="M7" s="263"/>
      <c r="N7" s="263"/>
      <c r="O7" s="263"/>
      <c r="P7" s="263"/>
      <c r="Q7" s="263"/>
      <c r="R7" s="263"/>
      <c r="S7" s="263"/>
      <c r="T7" s="263"/>
      <c r="U7" s="263"/>
      <c r="V7" s="263"/>
      <c r="W7" s="263"/>
      <c r="X7" s="263"/>
      <c r="Y7" s="263"/>
      <c r="Z7" s="263"/>
      <c r="AA7" s="263"/>
      <c r="AB7" s="263"/>
      <c r="AC7" s="206"/>
    </row>
    <row r="8" spans="3:28" ht="15">
      <c r="C8" s="175" t="s">
        <v>266</v>
      </c>
      <c r="E8" s="230"/>
      <c r="G8" s="247"/>
      <c r="H8" s="246">
        <f>'Izglītojamie - bez projekta'!H8</f>
        <v>18072.488512661257</v>
      </c>
      <c r="I8" s="246">
        <f>'Izglītojamie - bez projekta'!I8</f>
        <v>18388.825656374756</v>
      </c>
      <c r="J8" s="246">
        <f>'Izglītojamie - bez projekta'!J8</f>
        <v>18473.502813034665</v>
      </c>
      <c r="K8" s="246">
        <f>'Izglītojamie - bez projekta'!K8</f>
        <v>18070.351717793197</v>
      </c>
      <c r="L8" s="246">
        <f>'Izglītojamie - bez projekta'!L8</f>
        <v>18895.710341726994</v>
      </c>
      <c r="M8" s="246">
        <f>'Izglītojamie - bez projekta'!M8</f>
        <v>19537.988129680587</v>
      </c>
      <c r="N8" s="246">
        <f>'Izglītojamie - bez projekta'!N8</f>
        <v>20528.5644916556</v>
      </c>
      <c r="O8" s="246">
        <f>'Izglītojamie - bez projekta'!O8</f>
        <v>21400.248775086275</v>
      </c>
      <c r="P8" s="246">
        <f>'Izglītojamie - bez projekta'!P8</f>
        <v>19577</v>
      </c>
      <c r="Q8" s="246">
        <f>'Izglītojamie - bez projekta'!Q8</f>
        <v>18984</v>
      </c>
      <c r="R8" s="246">
        <f>'Izglītojamie - bez projekta'!R8</f>
        <v>18066</v>
      </c>
      <c r="S8" s="246">
        <f>'Izglītojamie - bez projekta'!S8</f>
        <v>19095</v>
      </c>
      <c r="T8" s="246">
        <f>'Izglītojamie - bez projekta'!T8</f>
        <v>19766</v>
      </c>
      <c r="U8" s="246">
        <f>'Izglītojamie - bez projekta'!U8</f>
        <v>20870</v>
      </c>
      <c r="V8" s="246">
        <f>'Izglītojamie - bez projekta'!V8</f>
        <v>20992</v>
      </c>
      <c r="W8" s="246">
        <f>'Izglītojamie - bez projekta'!W8</f>
        <v>19758</v>
      </c>
      <c r="X8" s="246">
        <f>'Izglītojamie - bez projekta'!X8</f>
        <v>20096</v>
      </c>
      <c r="Y8" s="246">
        <f>'Izglītojamie - bez projekta'!Y8</f>
        <v>20296</v>
      </c>
      <c r="Z8" s="246">
        <f>'Izglītojamie - bez projekta'!Z8</f>
        <v>20402</v>
      </c>
      <c r="AA8" s="246">
        <f>'Izglītojamie - bez projekta'!AA8</f>
        <v>20309</v>
      </c>
      <c r="AB8" s="233"/>
    </row>
    <row r="9" spans="1:29" ht="15">
      <c r="A9" s="206"/>
      <c r="B9" s="206"/>
      <c r="C9" s="239" t="s">
        <v>282</v>
      </c>
      <c r="D9" s="206"/>
      <c r="E9" s="263"/>
      <c r="F9" s="482"/>
      <c r="G9" s="245"/>
      <c r="H9" s="263"/>
      <c r="I9" s="263"/>
      <c r="J9" s="263"/>
      <c r="K9" s="263"/>
      <c r="L9" s="263"/>
      <c r="M9" s="263"/>
      <c r="N9" s="263"/>
      <c r="O9" s="263"/>
      <c r="P9" s="263"/>
      <c r="Q9" s="263"/>
      <c r="R9" s="263"/>
      <c r="S9" s="263"/>
      <c r="T9" s="263"/>
      <c r="U9" s="263"/>
      <c r="V9" s="263"/>
      <c r="W9" s="263"/>
      <c r="X9" s="263"/>
      <c r="Y9" s="263"/>
      <c r="Z9" s="263"/>
      <c r="AA9" s="263"/>
      <c r="AB9" s="263"/>
      <c r="AC9" s="206"/>
    </row>
    <row r="10" spans="3:28" ht="15">
      <c r="C10" s="242" t="s">
        <v>393</v>
      </c>
      <c r="D10" s="154" t="s">
        <v>13</v>
      </c>
      <c r="E10" s="166"/>
      <c r="F10" s="480">
        <f>Investicijas!G34</f>
        <v>0.6519470092332397</v>
      </c>
      <c r="G10" s="258">
        <f>Eurostat!B3</f>
        <v>0.5522622275484982</v>
      </c>
      <c r="H10" s="258">
        <f>G10</f>
        <v>0.5522622275484982</v>
      </c>
      <c r="I10" s="258">
        <f>$G$10-Investicijas!I35:V35</f>
        <v>0.5375431437024433</v>
      </c>
      <c r="J10" s="258">
        <f>$G$10-Investicijas!J35:W35</f>
        <v>0.5376106116959979</v>
      </c>
      <c r="K10" s="258">
        <f>$G$10-Investicijas!K35:X35</f>
        <v>0.5372837328908567</v>
      </c>
      <c r="L10" s="258">
        <f>$G$10-Investicijas!L35:Y35</f>
        <v>0.5379379887783389</v>
      </c>
      <c r="M10" s="258">
        <f>$G$10-Investicijas!M35:Z35</f>
        <v>0.5384088735147996</v>
      </c>
      <c r="N10" s="258">
        <f>$G$10-Investicijas!N35:AB35</f>
        <v>0.5390773471942637</v>
      </c>
      <c r="O10" s="258">
        <f>$G$10-Investicijas!O35:AC35</f>
        <v>0.5396143995016686</v>
      </c>
      <c r="P10" s="258">
        <f>$G$10-Investicijas!P35:AD35</f>
        <v>0.5384364796470492</v>
      </c>
      <c r="Q10" s="258">
        <f>$G$10-Investicijas!Q35:AE35</f>
        <v>0.5380046070961875</v>
      </c>
      <c r="R10" s="258">
        <f>$G$10-Investicijas!R35:AF35</f>
        <v>0.5372801248878833</v>
      </c>
      <c r="S10" s="258">
        <f>$G$10-Investicijas!S35:AG35</f>
        <v>0.5380874872150776</v>
      </c>
      <c r="T10" s="258">
        <f>$G$10-Investicijas!T35:AH35</f>
        <v>0.5385686797054006</v>
      </c>
      <c r="U10" s="258">
        <f>$G$10-Investicijas!U35:AI35</f>
        <v>0.5392930532951841</v>
      </c>
      <c r="V10" s="258">
        <f aca="true" t="shared" si="0" ref="V10:Z12">U10</f>
        <v>0.5392930532951841</v>
      </c>
      <c r="W10" s="258">
        <f t="shared" si="0"/>
        <v>0.5392930532951841</v>
      </c>
      <c r="X10" s="258">
        <f t="shared" si="0"/>
        <v>0.5392930532951841</v>
      </c>
      <c r="Y10" s="258">
        <f t="shared" si="0"/>
        <v>0.5392930532951841</v>
      </c>
      <c r="Z10" s="258">
        <f t="shared" si="0"/>
        <v>0.5392930532951841</v>
      </c>
      <c r="AA10" s="258">
        <f>Z10</f>
        <v>0.5392930532951841</v>
      </c>
      <c r="AB10" s="166"/>
    </row>
    <row r="11" spans="3:28" ht="15">
      <c r="C11" s="242" t="s">
        <v>394</v>
      </c>
      <c r="D11" s="154" t="s">
        <v>13</v>
      </c>
      <c r="E11" s="166"/>
      <c r="F11" s="481">
        <f>-F10-F12</f>
        <v>-1</v>
      </c>
      <c r="G11" s="258">
        <f>Eurostat!B4</f>
        <v>0.3627377724515018</v>
      </c>
      <c r="H11" s="276">
        <f>G11</f>
        <v>0.3627377724515018</v>
      </c>
      <c r="I11" s="276">
        <f>$G11+Investicijas!I37</f>
        <v>0.3849070329733309</v>
      </c>
      <c r="J11" s="276">
        <f>$G11+Investicijas!J37</f>
        <v>0.3848595471253507</v>
      </c>
      <c r="K11" s="276">
        <f>$G11+Investicijas!K37</f>
        <v>0.38518706801597175</v>
      </c>
      <c r="L11" s="276">
        <f>$G11+Investicijas!L37</f>
        <v>0.3846298664339744</v>
      </c>
      <c r="M11" s="276">
        <f>$G11+Investicijas!M37</f>
        <v>0.3841149308310885</v>
      </c>
      <c r="N11" s="276">
        <f>$G11+Investicijas!N37</f>
        <v>0.3834243950762491</v>
      </c>
      <c r="O11" s="276">
        <f>$G11+Investicijas!O37</f>
        <v>0.3828621490974425</v>
      </c>
      <c r="P11" s="276">
        <f>$G11+Investicijas!P37</f>
        <v>0.38407233171322047</v>
      </c>
      <c r="Q11" s="276">
        <f>$G11+Investicijas!Q37</f>
        <v>0.38452805198514417</v>
      </c>
      <c r="R11" s="276">
        <f>$G11+Investicijas!R37</f>
        <v>0.38519247557707836</v>
      </c>
      <c r="S11" s="276">
        <f>$G11+Investicijas!S37</f>
        <v>0.38445375394753045</v>
      </c>
      <c r="T11" s="276">
        <f>$G11+Investicijas!T37</f>
        <v>0.3839189252728448</v>
      </c>
      <c r="U11" s="276">
        <f>$G11+Investicijas!U37</f>
        <v>0.38322970664731715</v>
      </c>
      <c r="V11" s="276">
        <f t="shared" si="0"/>
        <v>0.38322970664731715</v>
      </c>
      <c r="W11" s="276">
        <f t="shared" si="0"/>
        <v>0.38322970664731715</v>
      </c>
      <c r="X11" s="276">
        <f t="shared" si="0"/>
        <v>0.38322970664731715</v>
      </c>
      <c r="Y11" s="276">
        <f t="shared" si="0"/>
        <v>0.38322970664731715</v>
      </c>
      <c r="Z11" s="276">
        <f t="shared" si="0"/>
        <v>0.38322970664731715</v>
      </c>
      <c r="AA11" s="276">
        <f>Z11</f>
        <v>0.38322970664731715</v>
      </c>
      <c r="AB11" s="166"/>
    </row>
    <row r="12" spans="3:28" ht="15">
      <c r="C12" s="242" t="s">
        <v>395</v>
      </c>
      <c r="D12" s="154" t="s">
        <v>13</v>
      </c>
      <c r="E12" s="166"/>
      <c r="F12" s="481">
        <f>Investicijas!G32</f>
        <v>0.3480529907667604</v>
      </c>
      <c r="G12" s="258">
        <f>Eurostat!B5</f>
        <v>0.085</v>
      </c>
      <c r="H12" s="258">
        <f>G12</f>
        <v>0.085</v>
      </c>
      <c r="I12" s="258">
        <f>$G$12-Investicijas!I33</f>
        <v>0.07754982332422589</v>
      </c>
      <c r="J12" s="258">
        <f>$G$12-Investicijas!J33</f>
        <v>0.07752984117865136</v>
      </c>
      <c r="K12" s="258">
        <f>$G$12-Investicijas!K33</f>
        <v>0.07752919909317146</v>
      </c>
      <c r="L12" s="258">
        <f>$G$12-Investicijas!L33</f>
        <v>0.07743214478768676</v>
      </c>
      <c r="M12" s="258">
        <f>$G$12-Investicijas!M33</f>
        <v>0.07747619565411196</v>
      </c>
      <c r="N12" s="258">
        <f>$G$12-Investicijas!N33</f>
        <v>0.07749825772948725</v>
      </c>
      <c r="O12" s="258">
        <f>$G$12-Investicijas!O33</f>
        <v>0.07752345140088893</v>
      </c>
      <c r="P12" s="258">
        <f>$G$12-Investicijas!P33</f>
        <v>0.0774911886397303</v>
      </c>
      <c r="Q12" s="258">
        <f>$G$12-Investicijas!Q33</f>
        <v>0.07746734091866836</v>
      </c>
      <c r="R12" s="258">
        <f>$G$12-Investicijas!R33</f>
        <v>0.0775273995350382</v>
      </c>
      <c r="S12" s="258">
        <f>$G$12-Investicijas!S33</f>
        <v>0.07745875883739199</v>
      </c>
      <c r="T12" s="258">
        <f>$G$12-Investicijas!T33</f>
        <v>0.07751239502175454</v>
      </c>
      <c r="U12" s="258">
        <f>$G$12-Investicijas!U33</f>
        <v>0.07747724005749881</v>
      </c>
      <c r="V12" s="258">
        <f t="shared" si="0"/>
        <v>0.07747724005749881</v>
      </c>
      <c r="W12" s="258">
        <f t="shared" si="0"/>
        <v>0.07747724005749881</v>
      </c>
      <c r="X12" s="258">
        <f t="shared" si="0"/>
        <v>0.07747724005749881</v>
      </c>
      <c r="Y12" s="258">
        <f t="shared" si="0"/>
        <v>0.07747724005749881</v>
      </c>
      <c r="Z12" s="258">
        <f t="shared" si="0"/>
        <v>0.07747724005749881</v>
      </c>
      <c r="AA12" s="258">
        <f>Z12</f>
        <v>0.07747724005749881</v>
      </c>
      <c r="AB12" s="166"/>
    </row>
    <row r="13" spans="5:28" ht="15">
      <c r="E13" s="166"/>
      <c r="F13" s="248"/>
      <c r="H13" s="166"/>
      <c r="I13" s="166"/>
      <c r="J13" s="166"/>
      <c r="K13" s="166"/>
      <c r="L13" s="166"/>
      <c r="M13" s="166"/>
      <c r="N13" s="166"/>
      <c r="O13" s="166"/>
      <c r="P13" s="166"/>
      <c r="Q13" s="166"/>
      <c r="R13" s="166"/>
      <c r="S13" s="166"/>
      <c r="T13" s="166"/>
      <c r="U13" s="166"/>
      <c r="V13" s="166"/>
      <c r="W13" s="166"/>
      <c r="X13" s="166"/>
      <c r="Y13" s="166"/>
      <c r="Z13" s="166"/>
      <c r="AA13" s="166"/>
      <c r="AB13" s="166"/>
    </row>
    <row r="14" spans="1:29" ht="15">
      <c r="A14" s="206"/>
      <c r="B14" s="206"/>
      <c r="C14" s="206" t="s">
        <v>603</v>
      </c>
      <c r="D14" s="206"/>
      <c r="E14" s="263"/>
      <c r="F14" s="245" t="s">
        <v>21</v>
      </c>
      <c r="G14" s="245"/>
      <c r="H14" s="263"/>
      <c r="I14" s="263"/>
      <c r="J14" s="263"/>
      <c r="K14" s="263"/>
      <c r="L14" s="263"/>
      <c r="M14" s="263"/>
      <c r="N14" s="263"/>
      <c r="O14" s="263"/>
      <c r="P14" s="263"/>
      <c r="Q14" s="263"/>
      <c r="R14" s="263"/>
      <c r="S14" s="263"/>
      <c r="T14" s="263"/>
      <c r="U14" s="263"/>
      <c r="V14" s="263"/>
      <c r="W14" s="263"/>
      <c r="X14" s="263"/>
      <c r="Y14" s="263"/>
      <c r="Z14" s="263"/>
      <c r="AA14" s="263"/>
      <c r="AB14" s="263"/>
      <c r="AC14" s="206"/>
    </row>
    <row r="15" spans="3:28" ht="15">
      <c r="C15" s="152" t="s">
        <v>256</v>
      </c>
      <c r="D15" s="152" t="s">
        <v>152</v>
      </c>
      <c r="E15" s="166"/>
      <c r="F15" s="246"/>
      <c r="H15" s="264">
        <f>$F15*H$11</f>
        <v>0</v>
      </c>
      <c r="I15" s="264">
        <f aca="true" t="shared" si="1" ref="I15:AA19">$F15*I$11</f>
        <v>0</v>
      </c>
      <c r="J15" s="267">
        <f t="shared" si="1"/>
        <v>0</v>
      </c>
      <c r="K15" s="268">
        <f t="shared" si="1"/>
        <v>0</v>
      </c>
      <c r="L15" s="268">
        <f t="shared" si="1"/>
        <v>0</v>
      </c>
      <c r="M15" s="268">
        <f t="shared" si="1"/>
        <v>0</v>
      </c>
      <c r="N15" s="268">
        <f t="shared" si="1"/>
        <v>0</v>
      </c>
      <c r="O15" s="268">
        <f t="shared" si="1"/>
        <v>0</v>
      </c>
      <c r="P15" s="268">
        <f t="shared" si="1"/>
        <v>0</v>
      </c>
      <c r="Q15" s="268">
        <f t="shared" si="1"/>
        <v>0</v>
      </c>
      <c r="R15" s="268">
        <f t="shared" si="1"/>
        <v>0</v>
      </c>
      <c r="S15" s="268">
        <f t="shared" si="1"/>
        <v>0</v>
      </c>
      <c r="T15" s="268">
        <f t="shared" si="1"/>
        <v>0</v>
      </c>
      <c r="U15" s="268">
        <f t="shared" si="1"/>
        <v>0</v>
      </c>
      <c r="V15" s="268">
        <f t="shared" si="1"/>
        <v>0</v>
      </c>
      <c r="W15" s="268">
        <f t="shared" si="1"/>
        <v>0</v>
      </c>
      <c r="X15" s="268">
        <f t="shared" si="1"/>
        <v>0</v>
      </c>
      <c r="Y15" s="268">
        <f t="shared" si="1"/>
        <v>0</v>
      </c>
      <c r="Z15" s="268">
        <f t="shared" si="1"/>
        <v>0</v>
      </c>
      <c r="AA15" s="268">
        <f t="shared" si="1"/>
        <v>0</v>
      </c>
      <c r="AB15" s="166"/>
    </row>
    <row r="16" spans="3:28" ht="15">
      <c r="C16" s="152" t="s">
        <v>257</v>
      </c>
      <c r="D16" s="152" t="s">
        <v>152</v>
      </c>
      <c r="E16" s="166"/>
      <c r="F16" s="246">
        <f>'Izglītojamie - bez projekta'!F16</f>
        <v>18072.488512661257</v>
      </c>
      <c r="G16" s="248"/>
      <c r="H16" s="248">
        <f>$F16*H$11</f>
        <v>6555.574225738099</v>
      </c>
      <c r="I16" s="248">
        <f t="shared" si="1"/>
        <v>6956.22793185305</v>
      </c>
      <c r="J16" s="248">
        <f t="shared" si="1"/>
        <v>6955.369744410914</v>
      </c>
      <c r="K16" s="250">
        <f t="shared" si="1"/>
        <v>6961.288861944319</v>
      </c>
      <c r="L16" s="251">
        <f t="shared" si="1"/>
        <v>6951.218842754436</v>
      </c>
      <c r="M16" s="251">
        <f t="shared" si="1"/>
        <v>6941.91267498652</v>
      </c>
      <c r="N16" s="251">
        <f t="shared" si="1"/>
        <v>6929.432975489603</v>
      </c>
      <c r="O16" s="251">
        <f t="shared" si="1"/>
        <v>6919.2717914963305</v>
      </c>
      <c r="P16" s="251">
        <f t="shared" si="1"/>
        <v>6941.142802918201</v>
      </c>
      <c r="Q16" s="251">
        <f t="shared" si="1"/>
        <v>6949.378802297529</v>
      </c>
      <c r="R16" s="251">
        <f t="shared" si="1"/>
        <v>6961.386590030301</v>
      </c>
      <c r="S16" s="251">
        <f t="shared" si="1"/>
        <v>6948.036051866242</v>
      </c>
      <c r="T16" s="251">
        <f t="shared" si="1"/>
        <v>6938.370366786744</v>
      </c>
      <c r="U16" s="251">
        <f t="shared" si="1"/>
        <v>6925.914471094183</v>
      </c>
      <c r="V16" s="251">
        <f t="shared" si="1"/>
        <v>6925.914471094183</v>
      </c>
      <c r="W16" s="251">
        <f t="shared" si="1"/>
        <v>6925.914471094183</v>
      </c>
      <c r="X16" s="251">
        <f t="shared" si="1"/>
        <v>6925.914471094183</v>
      </c>
      <c r="Y16" s="251">
        <f t="shared" si="1"/>
        <v>6925.914471094183</v>
      </c>
      <c r="Z16" s="251">
        <f t="shared" si="1"/>
        <v>6925.914471094183</v>
      </c>
      <c r="AA16" s="251">
        <f t="shared" si="1"/>
        <v>6925.914471094183</v>
      </c>
      <c r="AB16" s="166"/>
    </row>
    <row r="17" spans="3:28" ht="15">
      <c r="C17" s="152" t="s">
        <v>258</v>
      </c>
      <c r="D17" s="152" t="s">
        <v>152</v>
      </c>
      <c r="E17" s="166"/>
      <c r="F17" s="246">
        <f>'Izglītojamie - bez projekta'!F17</f>
        <v>18388.825656374756</v>
      </c>
      <c r="G17" s="248"/>
      <c r="H17" s="248"/>
      <c r="I17" s="248">
        <f t="shared" si="1"/>
        <v>7077.988323259072</v>
      </c>
      <c r="J17" s="248">
        <f t="shared" si="1"/>
        <v>7077.115114279419</v>
      </c>
      <c r="K17" s="248">
        <f t="shared" si="1"/>
        <v>7083.13783883587</v>
      </c>
      <c r="L17" s="250">
        <f t="shared" si="1"/>
        <v>7072.891556089065</v>
      </c>
      <c r="M17" s="251">
        <f t="shared" si="1"/>
        <v>7063.422495063335</v>
      </c>
      <c r="N17" s="251">
        <f t="shared" si="1"/>
        <v>7050.7243534581</v>
      </c>
      <c r="O17" s="251">
        <f t="shared" si="1"/>
        <v>7040.385310177828</v>
      </c>
      <c r="P17" s="251">
        <f t="shared" si="1"/>
        <v>7062.639147311745</v>
      </c>
      <c r="Q17" s="251">
        <f t="shared" si="1"/>
        <v>7071.019307940225</v>
      </c>
      <c r="R17" s="251">
        <f t="shared" si="1"/>
        <v>7083.237277534286</v>
      </c>
      <c r="S17" s="251">
        <f t="shared" si="1"/>
        <v>7069.6530542799355</v>
      </c>
      <c r="T17" s="251">
        <f t="shared" si="1"/>
        <v>7059.8181830251115</v>
      </c>
      <c r="U17" s="251">
        <f t="shared" si="1"/>
        <v>7047.144261881157</v>
      </c>
      <c r="V17" s="251">
        <f t="shared" si="1"/>
        <v>7047.144261881157</v>
      </c>
      <c r="W17" s="251">
        <f t="shared" si="1"/>
        <v>7047.144261881157</v>
      </c>
      <c r="X17" s="251">
        <f t="shared" si="1"/>
        <v>7047.144261881157</v>
      </c>
      <c r="Y17" s="251">
        <f t="shared" si="1"/>
        <v>7047.144261881157</v>
      </c>
      <c r="Z17" s="251">
        <f t="shared" si="1"/>
        <v>7047.144261881157</v>
      </c>
      <c r="AA17" s="251">
        <f t="shared" si="1"/>
        <v>7047.144261881157</v>
      </c>
      <c r="AB17" s="166"/>
    </row>
    <row r="18" spans="3:28" ht="15">
      <c r="C18" s="152" t="s">
        <v>259</v>
      </c>
      <c r="D18" s="152" t="s">
        <v>152</v>
      </c>
      <c r="E18" s="166"/>
      <c r="F18" s="246">
        <f>'Izglītojamie - bez projekta'!F18</f>
        <v>18473.502813034665</v>
      </c>
      <c r="G18" s="248"/>
      <c r="H18" s="248"/>
      <c r="I18" s="248"/>
      <c r="J18" s="248">
        <f t="shared" si="1"/>
        <v>7109.703926443413</v>
      </c>
      <c r="K18" s="248">
        <f t="shared" si="1"/>
        <v>7115.754384537629</v>
      </c>
      <c r="L18" s="248">
        <f t="shared" si="1"/>
        <v>7105.460919545174</v>
      </c>
      <c r="M18" s="250">
        <f t="shared" si="1"/>
        <v>7095.948255236729</v>
      </c>
      <c r="N18" s="251">
        <f t="shared" si="1"/>
        <v>7083.191641027202</v>
      </c>
      <c r="O18" s="251">
        <f t="shared" si="1"/>
        <v>7072.804988356102</v>
      </c>
      <c r="P18" s="251">
        <f t="shared" si="1"/>
        <v>7095.161300312961</v>
      </c>
      <c r="Q18" s="251">
        <f t="shared" si="1"/>
        <v>7103.580050038301</v>
      </c>
      <c r="R18" s="251">
        <f t="shared" si="1"/>
        <v>7115.8542811329435</v>
      </c>
      <c r="S18" s="251">
        <f t="shared" si="1"/>
        <v>7102.207505031441</v>
      </c>
      <c r="T18" s="251">
        <f t="shared" si="1"/>
        <v>7092.327346005144</v>
      </c>
      <c r="U18" s="251">
        <f t="shared" si="1"/>
        <v>7079.595063787663</v>
      </c>
      <c r="V18" s="251">
        <f t="shared" si="1"/>
        <v>7079.595063787663</v>
      </c>
      <c r="W18" s="251">
        <f t="shared" si="1"/>
        <v>7079.595063787663</v>
      </c>
      <c r="X18" s="251">
        <f t="shared" si="1"/>
        <v>7079.595063787663</v>
      </c>
      <c r="Y18" s="251">
        <f t="shared" si="1"/>
        <v>7079.595063787663</v>
      </c>
      <c r="Z18" s="251">
        <f t="shared" si="1"/>
        <v>7079.595063787663</v>
      </c>
      <c r="AA18" s="251">
        <f t="shared" si="1"/>
        <v>7079.595063787663</v>
      </c>
      <c r="AB18" s="166"/>
    </row>
    <row r="19" spans="3:28" ht="15">
      <c r="C19" s="152" t="s">
        <v>260</v>
      </c>
      <c r="D19" s="152" t="s">
        <v>152</v>
      </c>
      <c r="E19" s="166"/>
      <c r="F19" s="246">
        <f>'Izglītojamie - bez projekta'!F19</f>
        <v>18070.351717793197</v>
      </c>
      <c r="G19" s="248"/>
      <c r="H19" s="248"/>
      <c r="I19" s="248"/>
      <c r="J19" s="248"/>
      <c r="K19" s="248">
        <f t="shared" si="1"/>
        <v>6960.46579619414</v>
      </c>
      <c r="L19" s="248">
        <f t="shared" si="1"/>
        <v>6950.396967629737</v>
      </c>
      <c r="M19" s="248">
        <f t="shared" si="1"/>
        <v>6941.091900173575</v>
      </c>
      <c r="N19" s="250">
        <f t="shared" si="1"/>
        <v>6928.613676209915</v>
      </c>
      <c r="O19" s="251">
        <f t="shared" si="1"/>
        <v>6918.453693620965</v>
      </c>
      <c r="P19" s="251">
        <f t="shared" si="1"/>
        <v>6940.322119130832</v>
      </c>
      <c r="Q19" s="251">
        <f aca="true" t="shared" si="2" ref="Q19:AA19">$F19*Q$11</f>
        <v>6948.557144729421</v>
      </c>
      <c r="R19" s="251">
        <f t="shared" si="2"/>
        <v>6960.563512725272</v>
      </c>
      <c r="S19" s="251">
        <f t="shared" si="2"/>
        <v>6947.2145530578</v>
      </c>
      <c r="T19" s="251">
        <f t="shared" si="2"/>
        <v>6937.550010797469</v>
      </c>
      <c r="U19" s="251">
        <f t="shared" si="2"/>
        <v>6925.09558782373</v>
      </c>
      <c r="V19" s="251">
        <f t="shared" si="2"/>
        <v>6925.09558782373</v>
      </c>
      <c r="W19" s="251">
        <f t="shared" si="2"/>
        <v>6925.09558782373</v>
      </c>
      <c r="X19" s="251">
        <f t="shared" si="2"/>
        <v>6925.09558782373</v>
      </c>
      <c r="Y19" s="251">
        <f t="shared" si="2"/>
        <v>6925.09558782373</v>
      </c>
      <c r="Z19" s="251">
        <f t="shared" si="2"/>
        <v>6925.09558782373</v>
      </c>
      <c r="AA19" s="251">
        <f t="shared" si="2"/>
        <v>6925.09558782373</v>
      </c>
      <c r="AB19" s="166"/>
    </row>
    <row r="20" spans="3:28" ht="15">
      <c r="C20" s="152" t="s">
        <v>261</v>
      </c>
      <c r="D20" s="152" t="s">
        <v>152</v>
      </c>
      <c r="E20" s="166"/>
      <c r="F20" s="246">
        <f>'Izglītojamie - bez projekta'!F20</f>
        <v>18895.710341726994</v>
      </c>
      <c r="G20" s="248"/>
      <c r="H20" s="248"/>
      <c r="I20" s="248"/>
      <c r="J20" s="248"/>
      <c r="K20" s="248"/>
      <c r="L20" s="248">
        <f aca="true" t="shared" si="3" ref="L20:AA32">$F20*L$11</f>
        <v>7267.854544913523</v>
      </c>
      <c r="M20" s="248">
        <f t="shared" si="3"/>
        <v>7258.124470916748</v>
      </c>
      <c r="N20" s="248">
        <f t="shared" si="3"/>
        <v>7245.076307312696</v>
      </c>
      <c r="O20" s="250">
        <f t="shared" si="3"/>
        <v>7234.4522701563665</v>
      </c>
      <c r="P20" s="251">
        <f t="shared" si="3"/>
        <v>7257.3195303247</v>
      </c>
      <c r="Q20" s="251">
        <f t="shared" si="3"/>
        <v>7265.930688579824</v>
      </c>
      <c r="R20" s="251">
        <f t="shared" si="3"/>
        <v>7278.485444317222</v>
      </c>
      <c r="S20" s="251">
        <f t="shared" si="3"/>
        <v>7264.526774382116</v>
      </c>
      <c r="T20" s="251">
        <f t="shared" si="3"/>
        <v>7254.420806662807</v>
      </c>
      <c r="U20" s="251">
        <f t="shared" si="3"/>
        <v>7241.397531152713</v>
      </c>
      <c r="V20" s="251">
        <f t="shared" si="3"/>
        <v>7241.397531152713</v>
      </c>
      <c r="W20" s="251">
        <f t="shared" si="3"/>
        <v>7241.397531152713</v>
      </c>
      <c r="X20" s="251">
        <f t="shared" si="3"/>
        <v>7241.397531152713</v>
      </c>
      <c r="Y20" s="251">
        <f t="shared" si="3"/>
        <v>7241.397531152713</v>
      </c>
      <c r="Z20" s="251">
        <f t="shared" si="3"/>
        <v>7241.397531152713</v>
      </c>
      <c r="AA20" s="251">
        <f t="shared" si="3"/>
        <v>7241.397531152713</v>
      </c>
      <c r="AB20" s="166"/>
    </row>
    <row r="21" spans="3:28" ht="15">
      <c r="C21" s="152" t="s">
        <v>262</v>
      </c>
      <c r="D21" s="152" t="s">
        <v>152</v>
      </c>
      <c r="E21" s="166"/>
      <c r="F21" s="246">
        <f>'Izglītojamie - bez projekta'!F21</f>
        <v>19537.988129680587</v>
      </c>
      <c r="G21" s="248"/>
      <c r="H21" s="248"/>
      <c r="I21" s="248"/>
      <c r="J21" s="248"/>
      <c r="K21" s="248"/>
      <c r="L21" s="248"/>
      <c r="M21" s="248">
        <f t="shared" si="3"/>
        <v>7504.832959010887</v>
      </c>
      <c r="N21" s="248">
        <f t="shared" si="3"/>
        <v>7491.341279629714</v>
      </c>
      <c r="O21" s="248">
        <f t="shared" si="3"/>
        <v>7480.3561243698305</v>
      </c>
      <c r="P21" s="250">
        <f t="shared" si="3"/>
        <v>7504.000657951647</v>
      </c>
      <c r="Q21" s="251">
        <f t="shared" si="3"/>
        <v>7512.9045152149465</v>
      </c>
      <c r="R21" s="251">
        <f t="shared" si="3"/>
        <v>7525.886015467237</v>
      </c>
      <c r="S21" s="251">
        <f t="shared" si="3"/>
        <v>7511.452881037991</v>
      </c>
      <c r="T21" s="251">
        <f t="shared" si="3"/>
        <v>7501.003404740571</v>
      </c>
      <c r="U21" s="251">
        <f t="shared" si="3"/>
        <v>7487.537459416256</v>
      </c>
      <c r="V21" s="251">
        <f t="shared" si="3"/>
        <v>7487.537459416256</v>
      </c>
      <c r="W21" s="251">
        <f t="shared" si="3"/>
        <v>7487.537459416256</v>
      </c>
      <c r="X21" s="251">
        <f t="shared" si="3"/>
        <v>7487.537459416256</v>
      </c>
      <c r="Y21" s="251">
        <f t="shared" si="3"/>
        <v>7487.537459416256</v>
      </c>
      <c r="Z21" s="251">
        <f t="shared" si="3"/>
        <v>7487.537459416256</v>
      </c>
      <c r="AA21" s="251">
        <f t="shared" si="3"/>
        <v>7487.537459416256</v>
      </c>
      <c r="AB21" s="166"/>
    </row>
    <row r="22" spans="3:28" ht="12.75" customHeight="1">
      <c r="C22" s="152" t="s">
        <v>263</v>
      </c>
      <c r="D22" s="152" t="s">
        <v>152</v>
      </c>
      <c r="E22" s="166"/>
      <c r="F22" s="246">
        <f>'Izglītojamie - bez projekta'!F22</f>
        <v>20528.5644916556</v>
      </c>
      <c r="G22" s="248"/>
      <c r="H22" s="248"/>
      <c r="I22" s="248"/>
      <c r="J22" s="248"/>
      <c r="K22" s="248"/>
      <c r="L22" s="248"/>
      <c r="M22" s="248"/>
      <c r="N22" s="248">
        <f t="shared" si="3"/>
        <v>7871.152421996816</v>
      </c>
      <c r="O22" s="248">
        <f t="shared" si="3"/>
        <v>7859.610319160711</v>
      </c>
      <c r="P22" s="248">
        <f t="shared" si="3"/>
        <v>7884.45363103539</v>
      </c>
      <c r="Q22" s="250">
        <f t="shared" si="3"/>
        <v>7893.80891402773</v>
      </c>
      <c r="R22" s="251">
        <f t="shared" si="3"/>
        <v>7907.448576584528</v>
      </c>
      <c r="S22" s="251">
        <f t="shared" si="3"/>
        <v>7892.283681970973</v>
      </c>
      <c r="T22" s="251">
        <f t="shared" si="3"/>
        <v>7881.304417030702</v>
      </c>
      <c r="U22" s="251">
        <f t="shared" si="3"/>
        <v>7867.155748027707</v>
      </c>
      <c r="V22" s="251">
        <f t="shared" si="3"/>
        <v>7867.155748027707</v>
      </c>
      <c r="W22" s="251">
        <f t="shared" si="3"/>
        <v>7867.155748027707</v>
      </c>
      <c r="X22" s="251">
        <f t="shared" si="3"/>
        <v>7867.155748027707</v>
      </c>
      <c r="Y22" s="251">
        <f t="shared" si="3"/>
        <v>7867.155748027707</v>
      </c>
      <c r="Z22" s="251">
        <f t="shared" si="3"/>
        <v>7867.155748027707</v>
      </c>
      <c r="AA22" s="251">
        <f t="shared" si="3"/>
        <v>7867.155748027707</v>
      </c>
      <c r="AB22" s="166"/>
    </row>
    <row r="23" spans="3:28" ht="15">
      <c r="C23" s="152" t="s">
        <v>264</v>
      </c>
      <c r="D23" s="152" t="s">
        <v>152</v>
      </c>
      <c r="E23" s="166"/>
      <c r="F23" s="246">
        <f>'Izglītojamie - bez projekta'!F23</f>
        <v>21400.248775086275</v>
      </c>
      <c r="G23" s="248"/>
      <c r="H23" s="248"/>
      <c r="I23" s="248"/>
      <c r="J23" s="248"/>
      <c r="K23" s="248"/>
      <c r="L23" s="248"/>
      <c r="M23" s="248"/>
      <c r="N23" s="248"/>
      <c r="O23" s="248">
        <f t="shared" si="3"/>
        <v>8193.345237249443</v>
      </c>
      <c r="P23" s="248">
        <f t="shared" si="3"/>
        <v>8219.243446290377</v>
      </c>
      <c r="Q23" s="248">
        <f t="shared" si="3"/>
        <v>8228.995973481393</v>
      </c>
      <c r="R23" s="250">
        <f t="shared" si="3"/>
        <v>8243.214803640822</v>
      </c>
      <c r="S23" s="251">
        <f t="shared" si="3"/>
        <v>8227.405976992959</v>
      </c>
      <c r="T23" s="251">
        <f t="shared" si="3"/>
        <v>8215.960510302637</v>
      </c>
      <c r="U23" s="251">
        <f t="shared" si="3"/>
        <v>8201.21106025592</v>
      </c>
      <c r="V23" s="251">
        <f t="shared" si="3"/>
        <v>8201.21106025592</v>
      </c>
      <c r="W23" s="251">
        <f t="shared" si="3"/>
        <v>8201.21106025592</v>
      </c>
      <c r="X23" s="251">
        <f t="shared" si="3"/>
        <v>8201.21106025592</v>
      </c>
      <c r="Y23" s="251">
        <f t="shared" si="3"/>
        <v>8201.21106025592</v>
      </c>
      <c r="Z23" s="251">
        <f t="shared" si="3"/>
        <v>8201.21106025592</v>
      </c>
      <c r="AA23" s="251">
        <f t="shared" si="3"/>
        <v>8201.21106025592</v>
      </c>
      <c r="AB23" s="166"/>
    </row>
    <row r="24" spans="4:28" ht="15">
      <c r="D24" s="152" t="s">
        <v>152</v>
      </c>
      <c r="E24" s="166"/>
      <c r="F24" s="246">
        <f>'Izglītojamie - bez projekta'!F24</f>
        <v>19577</v>
      </c>
      <c r="G24" s="248"/>
      <c r="H24" s="248"/>
      <c r="I24" s="248"/>
      <c r="J24" s="248"/>
      <c r="K24" s="248"/>
      <c r="L24" s="248"/>
      <c r="M24" s="248"/>
      <c r="N24" s="248"/>
      <c r="O24" s="248"/>
      <c r="P24" s="248">
        <f t="shared" si="3"/>
        <v>7518.984037949717</v>
      </c>
      <c r="Q24" s="248">
        <f t="shared" si="3"/>
        <v>7527.905673713168</v>
      </c>
      <c r="R24" s="248">
        <f t="shared" si="3"/>
        <v>7540.913094372463</v>
      </c>
      <c r="S24" s="248">
        <f t="shared" si="3"/>
        <v>7526.451141030803</v>
      </c>
      <c r="T24" s="251">
        <f t="shared" si="3"/>
        <v>7515.980800066483</v>
      </c>
      <c r="U24" s="251">
        <f t="shared" si="3"/>
        <v>7502.487967034528</v>
      </c>
      <c r="V24" s="251">
        <f t="shared" si="3"/>
        <v>7502.487967034528</v>
      </c>
      <c r="W24" s="251">
        <f t="shared" si="3"/>
        <v>7502.487967034528</v>
      </c>
      <c r="X24" s="251">
        <f t="shared" si="3"/>
        <v>7502.487967034528</v>
      </c>
      <c r="Y24" s="251">
        <f t="shared" si="3"/>
        <v>7502.487967034528</v>
      </c>
      <c r="Z24" s="251">
        <f t="shared" si="3"/>
        <v>7502.487967034528</v>
      </c>
      <c r="AA24" s="251">
        <f t="shared" si="3"/>
        <v>7502.487967034528</v>
      </c>
      <c r="AB24" s="166"/>
    </row>
    <row r="25" spans="4:28" ht="15">
      <c r="D25" s="152" t="s">
        <v>152</v>
      </c>
      <c r="E25" s="166"/>
      <c r="F25" s="246">
        <f>'Izglītojamie - bez projekta'!F25</f>
        <v>18984</v>
      </c>
      <c r="G25" s="248"/>
      <c r="H25" s="248"/>
      <c r="I25" s="248"/>
      <c r="J25" s="248"/>
      <c r="K25" s="248"/>
      <c r="L25" s="248"/>
      <c r="M25" s="248"/>
      <c r="N25" s="248"/>
      <c r="O25" s="248"/>
      <c r="P25" s="248"/>
      <c r="Q25" s="248">
        <f t="shared" si="3"/>
        <v>7299.880538885977</v>
      </c>
      <c r="R25" s="248">
        <f t="shared" si="3"/>
        <v>7312.493956355255</v>
      </c>
      <c r="S25" s="248">
        <f t="shared" si="3"/>
        <v>7298.470064939918</v>
      </c>
      <c r="T25" s="248">
        <f t="shared" si="3"/>
        <v>7288.316877379686</v>
      </c>
      <c r="U25" s="251">
        <f t="shared" si="3"/>
        <v>7275.232750992669</v>
      </c>
      <c r="V25" s="251">
        <f t="shared" si="3"/>
        <v>7275.232750992669</v>
      </c>
      <c r="W25" s="251">
        <f t="shared" si="3"/>
        <v>7275.232750992669</v>
      </c>
      <c r="X25" s="251">
        <f t="shared" si="3"/>
        <v>7275.232750992669</v>
      </c>
      <c r="Y25" s="251">
        <f t="shared" si="3"/>
        <v>7275.232750992669</v>
      </c>
      <c r="Z25" s="251">
        <f t="shared" si="3"/>
        <v>7275.232750992669</v>
      </c>
      <c r="AA25" s="251">
        <f t="shared" si="3"/>
        <v>7275.232750992669</v>
      </c>
      <c r="AB25" s="166"/>
    </row>
    <row r="26" spans="4:28" ht="15">
      <c r="D26" s="152" t="s">
        <v>152</v>
      </c>
      <c r="E26" s="166"/>
      <c r="F26" s="246">
        <f>'Izglītojamie - bez projekta'!F26</f>
        <v>18066</v>
      </c>
      <c r="G26" s="248"/>
      <c r="H26" s="248"/>
      <c r="I26" s="248"/>
      <c r="J26" s="248"/>
      <c r="K26" s="248"/>
      <c r="L26" s="248"/>
      <c r="M26" s="248"/>
      <c r="N26" s="248"/>
      <c r="O26" s="248"/>
      <c r="P26" s="248"/>
      <c r="Q26" s="248"/>
      <c r="R26" s="248">
        <f t="shared" si="3"/>
        <v>6958.887263775498</v>
      </c>
      <c r="S26" s="248">
        <f t="shared" si="3"/>
        <v>6945.541518816085</v>
      </c>
      <c r="T26" s="248">
        <f t="shared" si="3"/>
        <v>6935.8793039792145</v>
      </c>
      <c r="U26" s="248">
        <f t="shared" si="3"/>
        <v>6923.427880290432</v>
      </c>
      <c r="V26" s="251">
        <f t="shared" si="3"/>
        <v>6923.427880290432</v>
      </c>
      <c r="W26" s="251">
        <f t="shared" si="3"/>
        <v>6923.427880290432</v>
      </c>
      <c r="X26" s="251">
        <f t="shared" si="3"/>
        <v>6923.427880290432</v>
      </c>
      <c r="Y26" s="251">
        <f t="shared" si="3"/>
        <v>6923.427880290432</v>
      </c>
      <c r="Z26" s="251">
        <f t="shared" si="3"/>
        <v>6923.427880290432</v>
      </c>
      <c r="AA26" s="251">
        <f t="shared" si="3"/>
        <v>6923.427880290432</v>
      </c>
      <c r="AB26" s="166"/>
    </row>
    <row r="27" spans="4:28" ht="15">
      <c r="D27" s="152" t="s">
        <v>152</v>
      </c>
      <c r="E27" s="166"/>
      <c r="F27" s="246">
        <f>'Izglītojamie - bez projekta'!F27</f>
        <v>19095</v>
      </c>
      <c r="G27" s="248"/>
      <c r="H27" s="248"/>
      <c r="I27" s="248"/>
      <c r="J27" s="248"/>
      <c r="K27" s="248"/>
      <c r="L27" s="248"/>
      <c r="M27" s="248"/>
      <c r="N27" s="248"/>
      <c r="O27" s="248"/>
      <c r="P27" s="248"/>
      <c r="Q27" s="248"/>
      <c r="R27" s="250"/>
      <c r="S27" s="248">
        <f t="shared" si="3"/>
        <v>7341.144431628094</v>
      </c>
      <c r="T27" s="248">
        <f t="shared" si="3"/>
        <v>7330.931878084972</v>
      </c>
      <c r="U27" s="248">
        <f t="shared" si="3"/>
        <v>7317.771248430521</v>
      </c>
      <c r="V27" s="248">
        <f t="shared" si="3"/>
        <v>7317.771248430521</v>
      </c>
      <c r="W27" s="251">
        <f t="shared" si="3"/>
        <v>7317.771248430521</v>
      </c>
      <c r="X27" s="251">
        <f t="shared" si="3"/>
        <v>7317.771248430521</v>
      </c>
      <c r="Y27" s="251">
        <f t="shared" si="3"/>
        <v>7317.771248430521</v>
      </c>
      <c r="Z27" s="251">
        <f t="shared" si="3"/>
        <v>7317.771248430521</v>
      </c>
      <c r="AA27" s="251">
        <f t="shared" si="3"/>
        <v>7317.771248430521</v>
      </c>
      <c r="AB27" s="166"/>
    </row>
    <row r="28" spans="4:28" ht="15">
      <c r="D28" s="152" t="s">
        <v>152</v>
      </c>
      <c r="E28" s="166"/>
      <c r="F28" s="246">
        <f>'Izglītojamie - bez projekta'!F28</f>
        <v>19766</v>
      </c>
      <c r="G28" s="248"/>
      <c r="H28" s="248"/>
      <c r="I28" s="248"/>
      <c r="J28" s="248"/>
      <c r="K28" s="248"/>
      <c r="L28" s="248"/>
      <c r="M28" s="248"/>
      <c r="N28" s="248"/>
      <c r="O28" s="248"/>
      <c r="P28" s="248"/>
      <c r="Q28" s="248"/>
      <c r="R28" s="250"/>
      <c r="S28" s="250"/>
      <c r="T28" s="248">
        <f t="shared" si="3"/>
        <v>7588.541476943051</v>
      </c>
      <c r="U28" s="248">
        <f t="shared" si="3"/>
        <v>7574.918381590871</v>
      </c>
      <c r="V28" s="248">
        <f t="shared" si="3"/>
        <v>7574.918381590871</v>
      </c>
      <c r="W28" s="248">
        <f t="shared" si="3"/>
        <v>7574.918381590871</v>
      </c>
      <c r="X28" s="251">
        <f t="shared" si="3"/>
        <v>7574.918381590871</v>
      </c>
      <c r="Y28" s="251">
        <f t="shared" si="3"/>
        <v>7574.918381590871</v>
      </c>
      <c r="Z28" s="251">
        <f t="shared" si="3"/>
        <v>7574.918381590871</v>
      </c>
      <c r="AA28" s="251">
        <f t="shared" si="3"/>
        <v>7574.918381590871</v>
      </c>
      <c r="AB28" s="166"/>
    </row>
    <row r="29" spans="4:28" ht="15">
      <c r="D29" s="152" t="s">
        <v>152</v>
      </c>
      <c r="E29" s="166"/>
      <c r="F29" s="246">
        <f>'Izglītojamie - bez projekta'!F29</f>
        <v>20870</v>
      </c>
      <c r="G29" s="248"/>
      <c r="H29" s="248"/>
      <c r="I29" s="248"/>
      <c r="J29" s="248"/>
      <c r="K29" s="248"/>
      <c r="L29" s="248"/>
      <c r="M29" s="248"/>
      <c r="N29" s="248"/>
      <c r="O29" s="248"/>
      <c r="P29" s="248"/>
      <c r="Q29" s="248"/>
      <c r="R29" s="250"/>
      <c r="S29" s="250"/>
      <c r="T29" s="233"/>
      <c r="U29" s="248">
        <f t="shared" si="3"/>
        <v>7998.003977729509</v>
      </c>
      <c r="V29" s="248">
        <f t="shared" si="3"/>
        <v>7998.003977729509</v>
      </c>
      <c r="W29" s="248">
        <f t="shared" si="3"/>
        <v>7998.003977729509</v>
      </c>
      <c r="X29" s="248">
        <f t="shared" si="3"/>
        <v>7998.003977729509</v>
      </c>
      <c r="Y29" s="251">
        <f t="shared" si="3"/>
        <v>7998.003977729509</v>
      </c>
      <c r="Z29" s="251">
        <f t="shared" si="3"/>
        <v>7998.003977729509</v>
      </c>
      <c r="AA29" s="251">
        <f t="shared" si="3"/>
        <v>7998.003977729509</v>
      </c>
      <c r="AB29" s="166"/>
    </row>
    <row r="30" spans="4:28" ht="15">
      <c r="D30" s="152" t="s">
        <v>152</v>
      </c>
      <c r="E30" s="166"/>
      <c r="F30" s="246">
        <f>V8</f>
        <v>20992</v>
      </c>
      <c r="G30" s="248"/>
      <c r="H30" s="248"/>
      <c r="I30" s="248"/>
      <c r="J30" s="248"/>
      <c r="K30" s="248"/>
      <c r="L30" s="248"/>
      <c r="M30" s="248"/>
      <c r="N30" s="248"/>
      <c r="O30" s="248"/>
      <c r="P30" s="248"/>
      <c r="Q30" s="248"/>
      <c r="R30" s="250"/>
      <c r="S30" s="250"/>
      <c r="T30" s="233"/>
      <c r="U30" s="248"/>
      <c r="V30" s="248">
        <f t="shared" si="3"/>
        <v>8044.758001940481</v>
      </c>
      <c r="W30" s="248">
        <f t="shared" si="3"/>
        <v>8044.758001940481</v>
      </c>
      <c r="X30" s="248">
        <f t="shared" si="3"/>
        <v>8044.758001940481</v>
      </c>
      <c r="Y30" s="251">
        <f t="shared" si="3"/>
        <v>8044.758001940481</v>
      </c>
      <c r="Z30" s="251">
        <f t="shared" si="3"/>
        <v>8044.758001940481</v>
      </c>
      <c r="AA30" s="251">
        <f t="shared" si="3"/>
        <v>8044.758001940481</v>
      </c>
      <c r="AB30" s="166"/>
    </row>
    <row r="31" spans="3:28" ht="15">
      <c r="C31" s="241"/>
      <c r="D31" s="152" t="s">
        <v>152</v>
      </c>
      <c r="E31" s="166"/>
      <c r="F31" s="246">
        <f>W8</f>
        <v>19758</v>
      </c>
      <c r="G31" s="248"/>
      <c r="H31" s="264"/>
      <c r="I31" s="264"/>
      <c r="J31" s="264"/>
      <c r="K31" s="264"/>
      <c r="L31" s="264"/>
      <c r="M31" s="264"/>
      <c r="N31" s="264"/>
      <c r="O31" s="264"/>
      <c r="P31" s="264"/>
      <c r="Q31" s="264"/>
      <c r="R31" s="267"/>
      <c r="S31" s="267"/>
      <c r="T31" s="267"/>
      <c r="U31" s="267"/>
      <c r="V31" s="267"/>
      <c r="W31" s="248">
        <f t="shared" si="3"/>
        <v>7571.852543937693</v>
      </c>
      <c r="X31" s="248">
        <f t="shared" si="3"/>
        <v>7571.852543937693</v>
      </c>
      <c r="Y31" s="248">
        <f t="shared" si="3"/>
        <v>7571.852543937693</v>
      </c>
      <c r="Z31" s="248">
        <f t="shared" si="3"/>
        <v>7571.852543937693</v>
      </c>
      <c r="AA31" s="251">
        <f t="shared" si="3"/>
        <v>7571.852543937693</v>
      </c>
      <c r="AB31" s="166"/>
    </row>
    <row r="32" spans="3:28" ht="15">
      <c r="C32" s="241"/>
      <c r="D32" s="152" t="s">
        <v>152</v>
      </c>
      <c r="E32" s="230"/>
      <c r="F32" s="246">
        <f>X8</f>
        <v>20096</v>
      </c>
      <c r="G32" s="248"/>
      <c r="H32" s="248"/>
      <c r="I32" s="248"/>
      <c r="J32" s="248"/>
      <c r="K32" s="248"/>
      <c r="L32" s="248"/>
      <c r="M32" s="248"/>
      <c r="N32" s="248"/>
      <c r="O32" s="248"/>
      <c r="P32" s="248"/>
      <c r="Q32" s="248"/>
      <c r="R32" s="250"/>
      <c r="S32" s="250"/>
      <c r="T32" s="233"/>
      <c r="U32" s="248"/>
      <c r="V32" s="248"/>
      <c r="W32" s="248"/>
      <c r="X32" s="248">
        <f t="shared" si="3"/>
        <v>7701.384184784485</v>
      </c>
      <c r="Y32" s="248">
        <f t="shared" si="3"/>
        <v>7701.384184784485</v>
      </c>
      <c r="Z32" s="248">
        <f t="shared" si="3"/>
        <v>7701.384184784485</v>
      </c>
      <c r="AA32" s="248">
        <f t="shared" si="3"/>
        <v>7701.384184784485</v>
      </c>
      <c r="AB32" s="233"/>
    </row>
    <row r="33" spans="3:28" ht="15">
      <c r="C33" s="241"/>
      <c r="E33" s="166"/>
      <c r="F33" s="246"/>
      <c r="G33" s="248"/>
      <c r="H33" s="264"/>
      <c r="I33" s="264"/>
      <c r="J33" s="264"/>
      <c r="K33" s="264"/>
      <c r="L33" s="264"/>
      <c r="M33" s="264"/>
      <c r="N33" s="264"/>
      <c r="O33" s="264"/>
      <c r="P33" s="264"/>
      <c r="Q33" s="264"/>
      <c r="R33" s="267"/>
      <c r="S33" s="267"/>
      <c r="T33" s="267"/>
      <c r="U33" s="267"/>
      <c r="V33" s="267"/>
      <c r="W33" s="267"/>
      <c r="X33" s="267"/>
      <c r="Y33" s="267"/>
      <c r="Z33" s="267"/>
      <c r="AA33" s="267"/>
      <c r="AB33" s="166"/>
    </row>
    <row r="34" spans="1:29" ht="15">
      <c r="A34" s="175"/>
      <c r="B34" s="175"/>
      <c r="C34" s="175" t="s">
        <v>284</v>
      </c>
      <c r="D34" s="175"/>
      <c r="E34" s="269"/>
      <c r="F34" s="253"/>
      <c r="H34" s="253">
        <f>SUM(H15:H23)</f>
        <v>6555.574225738099</v>
      </c>
      <c r="I34" s="253">
        <f>SUM(I15:I23)</f>
        <v>14034.216255112122</v>
      </c>
      <c r="J34" s="253">
        <f>SUM(J15:J23)</f>
        <v>21142.188785133745</v>
      </c>
      <c r="K34" s="253">
        <f>SUM(K16:K23)</f>
        <v>28120.64688151196</v>
      </c>
      <c r="L34" s="253">
        <f>SUM(L17:L23)</f>
        <v>28396.6039881775</v>
      </c>
      <c r="M34" s="253">
        <f>SUM(M18:M23)</f>
        <v>28799.99758533794</v>
      </c>
      <c r="N34" s="253">
        <f>SUM(N19:N23)</f>
        <v>29536.183685149143</v>
      </c>
      <c r="O34" s="253">
        <f>SUM(O20:O23)</f>
        <v>30767.76395093635</v>
      </c>
      <c r="P34" s="253">
        <f>SUM(P21:P24)</f>
        <v>31126.68177322713</v>
      </c>
      <c r="Q34" s="253">
        <f>SUM(Q22:Q25)</f>
        <v>30950.591100108268</v>
      </c>
      <c r="R34" s="253">
        <f>SUM(R23:R26)</f>
        <v>30055.509118144037</v>
      </c>
      <c r="S34" s="253">
        <f>SUM(S24:S27)</f>
        <v>29111.6071564149</v>
      </c>
      <c r="T34" s="253">
        <f>SUM(T25:T28)</f>
        <v>29143.669536386922</v>
      </c>
      <c r="U34" s="253">
        <f>SUM(U26:U29)</f>
        <v>29814.12148804133</v>
      </c>
      <c r="V34" s="253">
        <f>SUM(V27:V30)</f>
        <v>30935.451609691383</v>
      </c>
      <c r="W34" s="253">
        <f>SUM(W28:W30)</f>
        <v>23617.68036126086</v>
      </c>
      <c r="X34" s="253">
        <f>SUM(X29:X32)</f>
        <v>31315.99870839217</v>
      </c>
      <c r="Y34" s="253">
        <f>SUM(Y30:Y32)</f>
        <v>23317.99473066266</v>
      </c>
      <c r="Z34" s="253">
        <f>SUM(Z31:Z32)</f>
        <v>15273.236728722179</v>
      </c>
      <c r="AA34" s="253">
        <f>SUM(AA32)</f>
        <v>7701.384184784485</v>
      </c>
      <c r="AB34" s="269"/>
      <c r="AC34" s="175"/>
    </row>
    <row r="35" spans="3:28" ht="15">
      <c r="C35" s="175" t="s">
        <v>283</v>
      </c>
      <c r="E35" s="166"/>
      <c r="F35" s="248"/>
      <c r="H35" s="253">
        <f>H16</f>
        <v>6555.574225738099</v>
      </c>
      <c r="I35" s="253">
        <f>I17</f>
        <v>7077.988323259072</v>
      </c>
      <c r="J35" s="253">
        <f>J18</f>
        <v>7109.703926443413</v>
      </c>
      <c r="K35" s="253">
        <f>K19</f>
        <v>6960.46579619414</v>
      </c>
      <c r="L35" s="253">
        <f>L20</f>
        <v>7267.854544913523</v>
      </c>
      <c r="M35" s="253">
        <f>M21</f>
        <v>7504.832959010887</v>
      </c>
      <c r="N35" s="253">
        <f>N22</f>
        <v>7871.152421996816</v>
      </c>
      <c r="O35" s="253">
        <f>O23</f>
        <v>8193.345237249443</v>
      </c>
      <c r="P35" s="253">
        <f>P24</f>
        <v>7518.984037949717</v>
      </c>
      <c r="Q35" s="253">
        <f>Q25</f>
        <v>7299.880538885977</v>
      </c>
      <c r="R35" s="253">
        <f>R26</f>
        <v>6958.887263775498</v>
      </c>
      <c r="S35" s="253">
        <f>S27</f>
        <v>7341.144431628094</v>
      </c>
      <c r="T35" s="253">
        <f>T28</f>
        <v>7588.541476943051</v>
      </c>
      <c r="U35" s="253">
        <f>U29</f>
        <v>7998.003977729509</v>
      </c>
      <c r="V35" s="253">
        <f>V30</f>
        <v>8044.758001940481</v>
      </c>
      <c r="W35" s="253">
        <f>W31</f>
        <v>7571.852543937693</v>
      </c>
      <c r="X35" s="253">
        <f>X32</f>
        <v>7701.384184784485</v>
      </c>
      <c r="Y35" s="233"/>
      <c r="Z35" s="233"/>
      <c r="AA35" s="233"/>
      <c r="AB35" s="166"/>
    </row>
    <row r="36" spans="5:28" ht="15">
      <c r="E36" s="166"/>
      <c r="F36" s="248"/>
      <c r="H36" s="264"/>
      <c r="I36" s="264"/>
      <c r="J36" s="264"/>
      <c r="K36" s="264"/>
      <c r="L36" s="264"/>
      <c r="M36" s="264"/>
      <c r="N36" s="264"/>
      <c r="O36" s="264"/>
      <c r="P36" s="264"/>
      <c r="Q36" s="264"/>
      <c r="R36" s="264"/>
      <c r="S36" s="264"/>
      <c r="T36" s="264"/>
      <c r="U36" s="264"/>
      <c r="V36" s="264"/>
      <c r="W36" s="166"/>
      <c r="X36" s="166"/>
      <c r="Y36" s="166"/>
      <c r="Z36" s="166"/>
      <c r="AA36" s="166"/>
      <c r="AB36" s="166"/>
    </row>
    <row r="37" spans="1:29" ht="15">
      <c r="A37" s="206"/>
      <c r="B37" s="206" t="s">
        <v>602</v>
      </c>
      <c r="C37" s="206" t="s">
        <v>265</v>
      </c>
      <c r="D37" s="206"/>
      <c r="E37" s="263"/>
      <c r="F37" s="245" t="s">
        <v>21</v>
      </c>
      <c r="G37" s="245"/>
      <c r="H37" s="263"/>
      <c r="I37" s="263"/>
      <c r="J37" s="263"/>
      <c r="K37" s="263"/>
      <c r="L37" s="263"/>
      <c r="M37" s="263"/>
      <c r="N37" s="263"/>
      <c r="O37" s="263"/>
      <c r="P37" s="263"/>
      <c r="Q37" s="263"/>
      <c r="R37" s="263"/>
      <c r="S37" s="263"/>
      <c r="T37" s="263"/>
      <c r="U37" s="263"/>
      <c r="V37" s="263"/>
      <c r="W37" s="263"/>
      <c r="X37" s="263"/>
      <c r="Y37" s="263"/>
      <c r="Z37" s="263"/>
      <c r="AA37" s="263"/>
      <c r="AB37" s="263"/>
      <c r="AC37" s="206"/>
    </row>
    <row r="38" spans="3:28" ht="15">
      <c r="C38" s="152" t="s">
        <v>256</v>
      </c>
      <c r="D38" s="152" t="s">
        <v>152</v>
      </c>
      <c r="E38" s="264"/>
      <c r="F38" s="246"/>
      <c r="H38" s="268">
        <f>$F38*H$12</f>
        <v>0</v>
      </c>
      <c r="I38" s="268">
        <f aca="true" t="shared" si="4" ref="I38:AA38">$F38*I$12</f>
        <v>0</v>
      </c>
      <c r="J38" s="268">
        <f t="shared" si="4"/>
        <v>0</v>
      </c>
      <c r="K38" s="268">
        <f t="shared" si="4"/>
        <v>0</v>
      </c>
      <c r="L38" s="268">
        <f t="shared" si="4"/>
        <v>0</v>
      </c>
      <c r="M38" s="268">
        <f t="shared" si="4"/>
        <v>0</v>
      </c>
      <c r="N38" s="268">
        <f t="shared" si="4"/>
        <v>0</v>
      </c>
      <c r="O38" s="268">
        <f t="shared" si="4"/>
        <v>0</v>
      </c>
      <c r="P38" s="268">
        <f t="shared" si="4"/>
        <v>0</v>
      </c>
      <c r="Q38" s="268">
        <f t="shared" si="4"/>
        <v>0</v>
      </c>
      <c r="R38" s="268">
        <f t="shared" si="4"/>
        <v>0</v>
      </c>
      <c r="S38" s="268">
        <f t="shared" si="4"/>
        <v>0</v>
      </c>
      <c r="T38" s="268">
        <f t="shared" si="4"/>
        <v>0</v>
      </c>
      <c r="U38" s="268">
        <f t="shared" si="4"/>
        <v>0</v>
      </c>
      <c r="V38" s="268">
        <f t="shared" si="4"/>
        <v>0</v>
      </c>
      <c r="W38" s="268">
        <f t="shared" si="4"/>
        <v>0</v>
      </c>
      <c r="X38" s="268">
        <f t="shared" si="4"/>
        <v>0</v>
      </c>
      <c r="Y38" s="268">
        <f t="shared" si="4"/>
        <v>0</v>
      </c>
      <c r="Z38" s="268">
        <f t="shared" si="4"/>
        <v>0</v>
      </c>
      <c r="AA38" s="268">
        <f t="shared" si="4"/>
        <v>0</v>
      </c>
      <c r="AB38" s="166"/>
    </row>
    <row r="39" spans="3:28" ht="15">
      <c r="C39" s="152" t="s">
        <v>257</v>
      </c>
      <c r="D39" s="152" t="s">
        <v>152</v>
      </c>
      <c r="E39" s="264"/>
      <c r="F39" s="246">
        <f>'Izglītojamie - bez projekta'!F39</f>
        <v>18072.488512661257</v>
      </c>
      <c r="G39" s="248"/>
      <c r="H39" s="268">
        <f>$F39*H$12</f>
        <v>1536.161523576207</v>
      </c>
      <c r="I39" s="268">
        <f aca="true" t="shared" si="5" ref="I39:AA39">$F39*I$12</f>
        <v>1401.5182911859824</v>
      </c>
      <c r="J39" s="268">
        <f t="shared" si="5"/>
        <v>1401.1571640896284</v>
      </c>
      <c r="K39" s="268">
        <f t="shared" si="5"/>
        <v>1401.1455600071688</v>
      </c>
      <c r="L39" s="268">
        <f t="shared" si="5"/>
        <v>1399.3915471861922</v>
      </c>
      <c r="M39" s="268">
        <f t="shared" si="5"/>
        <v>1400.1876559636344</v>
      </c>
      <c r="N39" s="268">
        <f t="shared" si="5"/>
        <v>1400.5863725674199</v>
      </c>
      <c r="O39" s="268">
        <f t="shared" si="5"/>
        <v>1401.0416849044184</v>
      </c>
      <c r="P39" s="268">
        <f t="shared" si="5"/>
        <v>1400.4586165239923</v>
      </c>
      <c r="Q39" s="268">
        <f t="shared" si="5"/>
        <v>1400.0276288590474</v>
      </c>
      <c r="R39" s="268">
        <f t="shared" si="5"/>
        <v>1401.1130375134776</v>
      </c>
      <c r="S39" s="268">
        <f t="shared" si="5"/>
        <v>1399.8725292937654</v>
      </c>
      <c r="T39" s="268">
        <f t="shared" si="5"/>
        <v>1400.8418686195205</v>
      </c>
      <c r="U39" s="268">
        <f t="shared" si="5"/>
        <v>1400.206530931846</v>
      </c>
      <c r="V39" s="268">
        <f t="shared" si="5"/>
        <v>1400.206530931846</v>
      </c>
      <c r="W39" s="268">
        <f t="shared" si="5"/>
        <v>1400.206530931846</v>
      </c>
      <c r="X39" s="268">
        <f t="shared" si="5"/>
        <v>1400.206530931846</v>
      </c>
      <c r="Y39" s="268">
        <f t="shared" si="5"/>
        <v>1400.206530931846</v>
      </c>
      <c r="Z39" s="268">
        <f t="shared" si="5"/>
        <v>1400.206530931846</v>
      </c>
      <c r="AA39" s="268">
        <f t="shared" si="5"/>
        <v>1400.206530931846</v>
      </c>
      <c r="AB39" s="166"/>
    </row>
    <row r="40" spans="3:28" ht="15">
      <c r="C40" s="152" t="s">
        <v>258</v>
      </c>
      <c r="D40" s="152" t="s">
        <v>152</v>
      </c>
      <c r="E40" s="264"/>
      <c r="F40" s="246">
        <f>'Izglītojamie - bez projekta'!F40</f>
        <v>18388.825656374756</v>
      </c>
      <c r="G40" s="248"/>
      <c r="H40" s="264"/>
      <c r="I40" s="268">
        <f aca="true" t="shared" si="6" ref="I40:AA40">$F40*I$12</f>
        <v>1426.0501807918545</v>
      </c>
      <c r="J40" s="268">
        <f t="shared" si="6"/>
        <v>1425.6827326006442</v>
      </c>
      <c r="K40" s="268">
        <f t="shared" si="6"/>
        <v>1425.670925402698</v>
      </c>
      <c r="L40" s="268">
        <f t="shared" si="6"/>
        <v>1423.886210699939</v>
      </c>
      <c r="M40" s="268">
        <f t="shared" si="6"/>
        <v>1424.6962544026444</v>
      </c>
      <c r="N40" s="268">
        <f t="shared" si="6"/>
        <v>1425.1019500603384</v>
      </c>
      <c r="O40" s="268">
        <f t="shared" si="6"/>
        <v>1425.5652320913878</v>
      </c>
      <c r="P40" s="268">
        <f t="shared" si="6"/>
        <v>1424.9719578012487</v>
      </c>
      <c r="Q40" s="268">
        <f t="shared" si="6"/>
        <v>1424.5334262163387</v>
      </c>
      <c r="R40" s="268">
        <f t="shared" si="6"/>
        <v>1425.6378336419268</v>
      </c>
      <c r="S40" s="268">
        <f t="shared" si="6"/>
        <v>1424.3756118199788</v>
      </c>
      <c r="T40" s="268">
        <f t="shared" si="6"/>
        <v>1425.3619182630948</v>
      </c>
      <c r="U40" s="268">
        <f t="shared" si="6"/>
        <v>1424.7154597544402</v>
      </c>
      <c r="V40" s="268">
        <f t="shared" si="6"/>
        <v>1424.7154597544402</v>
      </c>
      <c r="W40" s="268">
        <f t="shared" si="6"/>
        <v>1424.7154597544402</v>
      </c>
      <c r="X40" s="268">
        <f t="shared" si="6"/>
        <v>1424.7154597544402</v>
      </c>
      <c r="Y40" s="268">
        <f t="shared" si="6"/>
        <v>1424.7154597544402</v>
      </c>
      <c r="Z40" s="268">
        <f t="shared" si="6"/>
        <v>1424.7154597544402</v>
      </c>
      <c r="AA40" s="268">
        <f t="shared" si="6"/>
        <v>1424.7154597544402</v>
      </c>
      <c r="AB40" s="166"/>
    </row>
    <row r="41" spans="3:28" ht="15">
      <c r="C41" s="152" t="s">
        <v>259</v>
      </c>
      <c r="D41" s="152" t="s">
        <v>152</v>
      </c>
      <c r="E41" s="264"/>
      <c r="F41" s="246">
        <f>'Izglītojamie - bez projekta'!F41</f>
        <v>18473.502813034665</v>
      </c>
      <c r="G41" s="248"/>
      <c r="H41" s="264"/>
      <c r="I41" s="264"/>
      <c r="J41" s="268">
        <f aca="true" t="shared" si="7" ref="J41:AA41">$F41*J$12</f>
        <v>1432.2477391079467</v>
      </c>
      <c r="K41" s="268">
        <f t="shared" si="7"/>
        <v>1432.2358775400276</v>
      </c>
      <c r="L41" s="268">
        <f t="shared" si="7"/>
        <v>1430.4429445546389</v>
      </c>
      <c r="M41" s="268">
        <f t="shared" si="7"/>
        <v>1431.2567183594613</v>
      </c>
      <c r="N41" s="268">
        <f t="shared" si="7"/>
        <v>1431.6642821709681</v>
      </c>
      <c r="O41" s="268">
        <f t="shared" si="7"/>
        <v>1432.1296975304779</v>
      </c>
      <c r="P41" s="268">
        <f t="shared" si="7"/>
        <v>1431.5336913214576</v>
      </c>
      <c r="Q41" s="268">
        <f t="shared" si="7"/>
        <v>1431.0931403793354</v>
      </c>
      <c r="R41" s="268">
        <f t="shared" si="7"/>
        <v>1432.2026333977908</v>
      </c>
      <c r="S41" s="268">
        <f t="shared" si="7"/>
        <v>1430.9345992767346</v>
      </c>
      <c r="T41" s="268">
        <f t="shared" si="7"/>
        <v>1431.9254474794368</v>
      </c>
      <c r="U41" s="268">
        <f t="shared" si="7"/>
        <v>1431.2760121483664</v>
      </c>
      <c r="V41" s="268">
        <f t="shared" si="7"/>
        <v>1431.2760121483664</v>
      </c>
      <c r="W41" s="268">
        <f t="shared" si="7"/>
        <v>1431.2760121483664</v>
      </c>
      <c r="X41" s="268">
        <f t="shared" si="7"/>
        <v>1431.2760121483664</v>
      </c>
      <c r="Y41" s="268">
        <f t="shared" si="7"/>
        <v>1431.2760121483664</v>
      </c>
      <c r="Z41" s="268">
        <f t="shared" si="7"/>
        <v>1431.2760121483664</v>
      </c>
      <c r="AA41" s="268">
        <f t="shared" si="7"/>
        <v>1431.2760121483664</v>
      </c>
      <c r="AB41" s="166"/>
    </row>
    <row r="42" spans="3:28" ht="15">
      <c r="C42" s="152" t="s">
        <v>260</v>
      </c>
      <c r="D42" s="152" t="s">
        <v>152</v>
      </c>
      <c r="E42" s="264"/>
      <c r="F42" s="246">
        <f>'Izglītojamie - bez projekta'!F42</f>
        <v>18070.351717793197</v>
      </c>
      <c r="G42" s="248"/>
      <c r="H42" s="264"/>
      <c r="I42" s="264"/>
      <c r="J42" s="264"/>
      <c r="K42" s="268">
        <f aca="true" t="shared" si="8" ref="K42:AA42">$F42*K$12</f>
        <v>1400.9798960124217</v>
      </c>
      <c r="L42" s="268">
        <f t="shared" si="8"/>
        <v>1399.226090576587</v>
      </c>
      <c r="M42" s="268">
        <f t="shared" si="8"/>
        <v>1400.022105226364</v>
      </c>
      <c r="N42" s="268">
        <f t="shared" si="8"/>
        <v>1400.42077468802</v>
      </c>
      <c r="O42" s="268">
        <f t="shared" si="8"/>
        <v>1400.8760331913106</v>
      </c>
      <c r="P42" s="268">
        <f t="shared" si="8"/>
        <v>1400.2930337497871</v>
      </c>
      <c r="Q42" s="268">
        <f t="shared" si="8"/>
        <v>1399.86209704253</v>
      </c>
      <c r="R42" s="268">
        <f t="shared" si="8"/>
        <v>1400.9473773640173</v>
      </c>
      <c r="S42" s="268">
        <f t="shared" si="8"/>
        <v>1399.7070158153954</v>
      </c>
      <c r="T42" s="268">
        <f t="shared" si="8"/>
        <v>1400.676240531627</v>
      </c>
      <c r="U42" s="268">
        <f t="shared" si="8"/>
        <v>1400.0409779628997</v>
      </c>
      <c r="V42" s="268">
        <f t="shared" si="8"/>
        <v>1400.0409779628997</v>
      </c>
      <c r="W42" s="268">
        <f t="shared" si="8"/>
        <v>1400.0409779628997</v>
      </c>
      <c r="X42" s="268">
        <f t="shared" si="8"/>
        <v>1400.0409779628997</v>
      </c>
      <c r="Y42" s="268">
        <f t="shared" si="8"/>
        <v>1400.0409779628997</v>
      </c>
      <c r="Z42" s="268">
        <f t="shared" si="8"/>
        <v>1400.0409779628997</v>
      </c>
      <c r="AA42" s="268">
        <f t="shared" si="8"/>
        <v>1400.0409779628997</v>
      </c>
      <c r="AB42" s="166"/>
    </row>
    <row r="43" spans="3:28" ht="15">
      <c r="C43" s="152" t="s">
        <v>261</v>
      </c>
      <c r="D43" s="152" t="s">
        <v>152</v>
      </c>
      <c r="E43" s="264"/>
      <c r="F43" s="246">
        <f>'Izglītojamie - bez projekta'!F43</f>
        <v>18895.710341726994</v>
      </c>
      <c r="G43" s="248"/>
      <c r="H43" s="264"/>
      <c r="I43" s="264"/>
      <c r="J43" s="264"/>
      <c r="K43" s="264"/>
      <c r="L43" s="268">
        <f aca="true" t="shared" si="9" ref="L43:AA43">$F43*L$12</f>
        <v>1463.1353790467947</v>
      </c>
      <c r="M43" s="268">
        <f t="shared" si="9"/>
        <v>1463.9677514590674</v>
      </c>
      <c r="N43" s="268">
        <f t="shared" si="9"/>
        <v>1464.384630044896</v>
      </c>
      <c r="O43" s="268">
        <f t="shared" si="9"/>
        <v>1464.860682362147</v>
      </c>
      <c r="P43" s="268">
        <f t="shared" si="9"/>
        <v>1464.2510545724692</v>
      </c>
      <c r="Q43" s="268">
        <f t="shared" si="9"/>
        <v>1463.8004349429725</v>
      </c>
      <c r="R43" s="268">
        <f t="shared" si="9"/>
        <v>1464.935285161422</v>
      </c>
      <c r="S43" s="268">
        <f t="shared" si="9"/>
        <v>1463.638270421045</v>
      </c>
      <c r="T43" s="268">
        <f t="shared" si="9"/>
        <v>1464.6517642245951</v>
      </c>
      <c r="U43" s="268">
        <f t="shared" si="9"/>
        <v>1463.9874862029453</v>
      </c>
      <c r="V43" s="268">
        <f t="shared" si="9"/>
        <v>1463.9874862029453</v>
      </c>
      <c r="W43" s="268">
        <f t="shared" si="9"/>
        <v>1463.9874862029453</v>
      </c>
      <c r="X43" s="268">
        <f t="shared" si="9"/>
        <v>1463.9874862029453</v>
      </c>
      <c r="Y43" s="268">
        <f t="shared" si="9"/>
        <v>1463.9874862029453</v>
      </c>
      <c r="Z43" s="268">
        <f t="shared" si="9"/>
        <v>1463.9874862029453</v>
      </c>
      <c r="AA43" s="268">
        <f t="shared" si="9"/>
        <v>1463.9874862029453</v>
      </c>
      <c r="AB43" s="166"/>
    </row>
    <row r="44" spans="3:28" ht="15">
      <c r="C44" s="152" t="s">
        <v>262</v>
      </c>
      <c r="D44" s="152" t="s">
        <v>152</v>
      </c>
      <c r="E44" s="264"/>
      <c r="F44" s="246">
        <f>'Izglītojamie - bez projekta'!F44</f>
        <v>19537.988129680587</v>
      </c>
      <c r="G44" s="248"/>
      <c r="H44" s="264"/>
      <c r="I44" s="264"/>
      <c r="J44" s="264"/>
      <c r="K44" s="264"/>
      <c r="L44" s="264"/>
      <c r="M44" s="268">
        <f aca="true" t="shared" si="10" ref="M44:AA44">$F44*M$12</f>
        <v>1513.72899102285</v>
      </c>
      <c r="N44" s="268">
        <f t="shared" si="10"/>
        <v>1514.1600395896487</v>
      </c>
      <c r="O44" s="268">
        <f t="shared" si="10"/>
        <v>1514.6522732424378</v>
      </c>
      <c r="P44" s="268">
        <f t="shared" si="10"/>
        <v>1514.0219237978897</v>
      </c>
      <c r="Q44" s="268">
        <f t="shared" si="10"/>
        <v>1513.5559873068617</v>
      </c>
      <c r="R44" s="268">
        <f t="shared" si="10"/>
        <v>1514.7294118405807</v>
      </c>
      <c r="S44" s="268">
        <f t="shared" si="10"/>
        <v>1513.388310704756</v>
      </c>
      <c r="T44" s="268">
        <f t="shared" si="10"/>
        <v>1514.4362538381529</v>
      </c>
      <c r="U44" s="268">
        <f t="shared" si="10"/>
        <v>1513.749396563825</v>
      </c>
      <c r="V44" s="268">
        <f t="shared" si="10"/>
        <v>1513.749396563825</v>
      </c>
      <c r="W44" s="268">
        <f t="shared" si="10"/>
        <v>1513.749396563825</v>
      </c>
      <c r="X44" s="268">
        <f t="shared" si="10"/>
        <v>1513.749396563825</v>
      </c>
      <c r="Y44" s="268">
        <f t="shared" si="10"/>
        <v>1513.749396563825</v>
      </c>
      <c r="Z44" s="268">
        <f t="shared" si="10"/>
        <v>1513.749396563825</v>
      </c>
      <c r="AA44" s="268">
        <f t="shared" si="10"/>
        <v>1513.749396563825</v>
      </c>
      <c r="AB44" s="166"/>
    </row>
    <row r="45" spans="3:28" ht="15">
      <c r="C45" s="152" t="s">
        <v>263</v>
      </c>
      <c r="D45" s="152" t="s">
        <v>152</v>
      </c>
      <c r="E45" s="264"/>
      <c r="F45" s="246">
        <f>'Izglītojamie - bez projekta'!F45</f>
        <v>20528.5644916556</v>
      </c>
      <c r="G45" s="248"/>
      <c r="H45" s="264"/>
      <c r="I45" s="264"/>
      <c r="J45" s="264"/>
      <c r="K45" s="264"/>
      <c r="L45" s="264"/>
      <c r="M45" s="264"/>
      <c r="N45" s="268">
        <f aca="true" t="shared" si="11" ref="N45:AA45">$F45*N$12</f>
        <v>1590.927981790726</v>
      </c>
      <c r="O45" s="268">
        <f t="shared" si="11"/>
        <v>1591.4451716988772</v>
      </c>
      <c r="P45" s="268">
        <f t="shared" si="11"/>
        <v>1590.7828635257533</v>
      </c>
      <c r="Q45" s="268">
        <f t="shared" si="11"/>
        <v>1590.2933040459543</v>
      </c>
      <c r="R45" s="268">
        <f t="shared" si="11"/>
        <v>1591.5262212253822</v>
      </c>
      <c r="S45" s="268">
        <f t="shared" si="11"/>
        <v>1590.1171262369996</v>
      </c>
      <c r="T45" s="268">
        <f t="shared" si="11"/>
        <v>1591.2182001067727</v>
      </c>
      <c r="U45" s="268">
        <f t="shared" si="11"/>
        <v>1590.4965191558472</v>
      </c>
      <c r="V45" s="268">
        <f t="shared" si="11"/>
        <v>1590.4965191558472</v>
      </c>
      <c r="W45" s="268">
        <f t="shared" si="11"/>
        <v>1590.4965191558472</v>
      </c>
      <c r="X45" s="268">
        <f t="shared" si="11"/>
        <v>1590.4965191558472</v>
      </c>
      <c r="Y45" s="268">
        <f t="shared" si="11"/>
        <v>1590.4965191558472</v>
      </c>
      <c r="Z45" s="268">
        <f t="shared" si="11"/>
        <v>1590.4965191558472</v>
      </c>
      <c r="AA45" s="268">
        <f t="shared" si="11"/>
        <v>1590.4965191558472</v>
      </c>
      <c r="AB45" s="166"/>
    </row>
    <row r="46" spans="3:28" ht="15">
      <c r="C46" s="152" t="s">
        <v>264</v>
      </c>
      <c r="D46" s="152" t="s">
        <v>152</v>
      </c>
      <c r="E46" s="264"/>
      <c r="F46" s="246">
        <f>'Izglītojamie - bez projekta'!F46</f>
        <v>21400.248775086275</v>
      </c>
      <c r="G46" s="248"/>
      <c r="H46" s="264"/>
      <c r="I46" s="264"/>
      <c r="J46" s="264"/>
      <c r="K46" s="264"/>
      <c r="L46" s="264"/>
      <c r="M46" s="264"/>
      <c r="N46" s="264"/>
      <c r="O46" s="268">
        <f aca="true" t="shared" si="12" ref="O46:AA46">$F46*O$12</f>
        <v>1659.0211458823335</v>
      </c>
      <c r="P46" s="268">
        <f t="shared" si="12"/>
        <v>1658.3307147673677</v>
      </c>
      <c r="Q46" s="268">
        <f t="shared" si="12"/>
        <v>1657.8203676039234</v>
      </c>
      <c r="R46" s="268">
        <f t="shared" si="12"/>
        <v>1659.1056369353255</v>
      </c>
      <c r="S46" s="268">
        <f t="shared" si="12"/>
        <v>1657.6367089296011</v>
      </c>
      <c r="T46" s="268">
        <f t="shared" si="12"/>
        <v>1658.784536618306</v>
      </c>
      <c r="U46" s="268">
        <f t="shared" si="12"/>
        <v>1658.0322116375542</v>
      </c>
      <c r="V46" s="268">
        <f t="shared" si="12"/>
        <v>1658.0322116375542</v>
      </c>
      <c r="W46" s="268">
        <f t="shared" si="12"/>
        <v>1658.0322116375542</v>
      </c>
      <c r="X46" s="268">
        <f t="shared" si="12"/>
        <v>1658.0322116375542</v>
      </c>
      <c r="Y46" s="268">
        <f t="shared" si="12"/>
        <v>1658.0322116375542</v>
      </c>
      <c r="Z46" s="268">
        <f t="shared" si="12"/>
        <v>1658.0322116375542</v>
      </c>
      <c r="AA46" s="268">
        <f t="shared" si="12"/>
        <v>1658.0322116375542</v>
      </c>
      <c r="AB46" s="166"/>
    </row>
    <row r="47" spans="5:28" ht="15">
      <c r="E47" s="166"/>
      <c r="H47" s="166"/>
      <c r="I47" s="166"/>
      <c r="J47" s="166"/>
      <c r="K47" s="166"/>
      <c r="L47" s="166"/>
      <c r="M47" s="166"/>
      <c r="N47" s="166"/>
      <c r="O47" s="166"/>
      <c r="P47" s="166"/>
      <c r="Q47" s="166"/>
      <c r="R47" s="166"/>
      <c r="S47" s="166"/>
      <c r="T47" s="166"/>
      <c r="U47" s="166"/>
      <c r="V47" s="166"/>
      <c r="W47" s="166"/>
      <c r="X47" s="166"/>
      <c r="Y47" s="166"/>
      <c r="Z47" s="166"/>
      <c r="AA47" s="166"/>
      <c r="AB47" s="166"/>
    </row>
    <row r="48" spans="1:29" ht="15">
      <c r="A48" s="163" t="s">
        <v>151</v>
      </c>
      <c r="B48" s="163" t="s">
        <v>285</v>
      </c>
      <c r="C48" s="163"/>
      <c r="D48" s="163"/>
      <c r="E48" s="262"/>
      <c r="F48" s="244"/>
      <c r="G48" s="244"/>
      <c r="H48" s="262"/>
      <c r="I48" s="262"/>
      <c r="J48" s="262"/>
      <c r="K48" s="262"/>
      <c r="L48" s="262"/>
      <c r="M48" s="262"/>
      <c r="N48" s="262"/>
      <c r="O48" s="262"/>
      <c r="P48" s="262"/>
      <c r="Q48" s="262"/>
      <c r="R48" s="262"/>
      <c r="S48" s="262"/>
      <c r="T48" s="262"/>
      <c r="U48" s="262"/>
      <c r="V48" s="262"/>
      <c r="W48" s="262"/>
      <c r="X48" s="262"/>
      <c r="Y48" s="262"/>
      <c r="Z48" s="262"/>
      <c r="AA48" s="262"/>
      <c r="AB48" s="262"/>
      <c r="AC48" s="163"/>
    </row>
    <row r="49" spans="5:28" ht="15">
      <c r="E49" s="166"/>
      <c r="F49" s="248"/>
      <c r="H49" s="166"/>
      <c r="I49" s="166"/>
      <c r="J49" s="166"/>
      <c r="K49" s="166"/>
      <c r="L49" s="166"/>
      <c r="M49" s="166"/>
      <c r="N49" s="166"/>
      <c r="O49" s="166"/>
      <c r="P49" s="166"/>
      <c r="Q49" s="166"/>
      <c r="R49" s="166"/>
      <c r="S49" s="166"/>
      <c r="T49" s="166"/>
      <c r="U49" s="166"/>
      <c r="V49" s="166"/>
      <c r="W49" s="166"/>
      <c r="X49" s="166"/>
      <c r="Y49" s="166"/>
      <c r="Z49" s="166"/>
      <c r="AA49" s="166"/>
      <c r="AB49" s="166"/>
    </row>
    <row r="50" spans="2:28" ht="15">
      <c r="B50" s="196"/>
      <c r="C50" s="196" t="s">
        <v>412</v>
      </c>
      <c r="E50" s="166"/>
      <c r="F50" s="248"/>
      <c r="H50" s="166"/>
      <c r="I50" s="166"/>
      <c r="J50" s="166"/>
      <c r="K50" s="166"/>
      <c r="L50" s="166"/>
      <c r="M50" s="166"/>
      <c r="N50" s="166"/>
      <c r="O50" s="166"/>
      <c r="P50" s="166"/>
      <c r="Q50" s="166"/>
      <c r="R50" s="166"/>
      <c r="S50" s="166"/>
      <c r="T50" s="166"/>
      <c r="U50" s="166"/>
      <c r="V50" s="166"/>
      <c r="W50" s="166"/>
      <c r="X50" s="166"/>
      <c r="Y50" s="166"/>
      <c r="Z50" s="166"/>
      <c r="AA50" s="166"/>
      <c r="AB50" s="166"/>
    </row>
    <row r="51" spans="1:29" ht="38.25">
      <c r="A51" s="196"/>
      <c r="B51" s="196"/>
      <c r="C51" s="196"/>
      <c r="D51" s="197"/>
      <c r="E51" s="270"/>
      <c r="F51" s="296" t="s">
        <v>416</v>
      </c>
      <c r="H51" s="272"/>
      <c r="I51" s="272"/>
      <c r="J51" s="272"/>
      <c r="K51" s="272"/>
      <c r="L51" s="272"/>
      <c r="M51" s="272"/>
      <c r="N51" s="272"/>
      <c r="O51" s="272"/>
      <c r="P51" s="272"/>
      <c r="Q51" s="272"/>
      <c r="R51" s="272"/>
      <c r="S51" s="272"/>
      <c r="T51" s="272"/>
      <c r="U51" s="272"/>
      <c r="V51" s="272"/>
      <c r="W51" s="272"/>
      <c r="X51" s="272"/>
      <c r="Y51" s="272"/>
      <c r="Z51" s="272"/>
      <c r="AA51" s="272"/>
      <c r="AB51" s="273"/>
      <c r="AC51" s="196"/>
    </row>
    <row r="52" spans="1:29" ht="25.5">
      <c r="A52" s="195"/>
      <c r="B52" s="195"/>
      <c r="C52" s="155" t="s">
        <v>54</v>
      </c>
      <c r="D52" s="226">
        <f>Dati!D4</f>
        <v>0</v>
      </c>
      <c r="E52" s="274"/>
      <c r="F52" s="256">
        <f>D52/$F$5</f>
        <v>0</v>
      </c>
      <c r="H52" s="257">
        <f aca="true" t="shared" si="13" ref="H52:W55">ROUND(H$34*$F52,0)</f>
        <v>0</v>
      </c>
      <c r="I52" s="257">
        <f t="shared" si="13"/>
        <v>0</v>
      </c>
      <c r="J52" s="257">
        <f t="shared" si="13"/>
        <v>0</v>
      </c>
      <c r="K52" s="257">
        <f t="shared" si="13"/>
        <v>0</v>
      </c>
      <c r="L52" s="257">
        <f t="shared" si="13"/>
        <v>0</v>
      </c>
      <c r="M52" s="257">
        <f t="shared" si="13"/>
        <v>0</v>
      </c>
      <c r="N52" s="257">
        <f t="shared" si="13"/>
        <v>0</v>
      </c>
      <c r="O52" s="257">
        <f t="shared" si="13"/>
        <v>0</v>
      </c>
      <c r="P52" s="257">
        <f t="shared" si="13"/>
        <v>0</v>
      </c>
      <c r="Q52" s="257">
        <f t="shared" si="13"/>
        <v>0</v>
      </c>
      <c r="R52" s="257">
        <f t="shared" si="13"/>
        <v>0</v>
      </c>
      <c r="S52" s="257">
        <f t="shared" si="13"/>
        <v>0</v>
      </c>
      <c r="T52" s="257">
        <f t="shared" si="13"/>
        <v>0</v>
      </c>
      <c r="U52" s="257">
        <f t="shared" si="13"/>
        <v>0</v>
      </c>
      <c r="V52" s="257">
        <f t="shared" si="13"/>
        <v>0</v>
      </c>
      <c r="W52" s="257">
        <f t="shared" si="13"/>
        <v>0</v>
      </c>
      <c r="X52" s="257">
        <f aca="true" t="shared" si="14" ref="X52:AA55">ROUND(X$34*$F52,0)</f>
        <v>0</v>
      </c>
      <c r="Y52" s="257">
        <f t="shared" si="14"/>
        <v>0</v>
      </c>
      <c r="Z52" s="257">
        <f t="shared" si="14"/>
        <v>0</v>
      </c>
      <c r="AA52" s="257">
        <f t="shared" si="14"/>
        <v>0</v>
      </c>
      <c r="AB52" s="273"/>
      <c r="AC52" s="195"/>
    </row>
    <row r="53" spans="1:29" ht="25.5">
      <c r="A53" s="195"/>
      <c r="B53" s="195"/>
      <c r="C53" s="155" t="s">
        <v>55</v>
      </c>
      <c r="D53" s="226">
        <f>Dati!D5</f>
        <v>0</v>
      </c>
      <c r="E53" s="274"/>
      <c r="F53" s="256">
        <f>D53/$F$5</f>
        <v>0</v>
      </c>
      <c r="H53" s="257">
        <f t="shared" si="13"/>
        <v>0</v>
      </c>
      <c r="I53" s="257">
        <f t="shared" si="13"/>
        <v>0</v>
      </c>
      <c r="J53" s="257">
        <f t="shared" si="13"/>
        <v>0</v>
      </c>
      <c r="K53" s="257">
        <f t="shared" si="13"/>
        <v>0</v>
      </c>
      <c r="L53" s="257">
        <f t="shared" si="13"/>
        <v>0</v>
      </c>
      <c r="M53" s="257">
        <f t="shared" si="13"/>
        <v>0</v>
      </c>
      <c r="N53" s="257">
        <f t="shared" si="13"/>
        <v>0</v>
      </c>
      <c r="O53" s="257">
        <f t="shared" si="13"/>
        <v>0</v>
      </c>
      <c r="P53" s="257">
        <f t="shared" si="13"/>
        <v>0</v>
      </c>
      <c r="Q53" s="257">
        <f t="shared" si="13"/>
        <v>0</v>
      </c>
      <c r="R53" s="257">
        <f t="shared" si="13"/>
        <v>0</v>
      </c>
      <c r="S53" s="257">
        <f t="shared" si="13"/>
        <v>0</v>
      </c>
      <c r="T53" s="257">
        <f t="shared" si="13"/>
        <v>0</v>
      </c>
      <c r="U53" s="257">
        <f t="shared" si="13"/>
        <v>0</v>
      </c>
      <c r="V53" s="257">
        <f t="shared" si="13"/>
        <v>0</v>
      </c>
      <c r="W53" s="257">
        <f t="shared" si="13"/>
        <v>0</v>
      </c>
      <c r="X53" s="257">
        <f t="shared" si="14"/>
        <v>0</v>
      </c>
      <c r="Y53" s="257">
        <f t="shared" si="14"/>
        <v>0</v>
      </c>
      <c r="Z53" s="257">
        <f t="shared" si="14"/>
        <v>0</v>
      </c>
      <c r="AA53" s="257">
        <f t="shared" si="14"/>
        <v>0</v>
      </c>
      <c r="AB53" s="273"/>
      <c r="AC53" s="195"/>
    </row>
    <row r="54" spans="1:29" ht="25.5">
      <c r="A54" s="195"/>
      <c r="B54" s="195"/>
      <c r="C54" s="156" t="s">
        <v>56</v>
      </c>
      <c r="D54" s="226">
        <f>Dati!D6</f>
        <v>0</v>
      </c>
      <c r="E54" s="274"/>
      <c r="F54" s="256">
        <f>D54/$F$5</f>
        <v>0</v>
      </c>
      <c r="H54" s="257">
        <f t="shared" si="13"/>
        <v>0</v>
      </c>
      <c r="I54" s="257">
        <f t="shared" si="13"/>
        <v>0</v>
      </c>
      <c r="J54" s="257">
        <f t="shared" si="13"/>
        <v>0</v>
      </c>
      <c r="K54" s="257">
        <f t="shared" si="13"/>
        <v>0</v>
      </c>
      <c r="L54" s="257">
        <f t="shared" si="13"/>
        <v>0</v>
      </c>
      <c r="M54" s="257">
        <f t="shared" si="13"/>
        <v>0</v>
      </c>
      <c r="N54" s="257">
        <f t="shared" si="13"/>
        <v>0</v>
      </c>
      <c r="O54" s="257">
        <f t="shared" si="13"/>
        <v>0</v>
      </c>
      <c r="P54" s="257">
        <f t="shared" si="13"/>
        <v>0</v>
      </c>
      <c r="Q54" s="257">
        <f t="shared" si="13"/>
        <v>0</v>
      </c>
      <c r="R54" s="257">
        <f t="shared" si="13"/>
        <v>0</v>
      </c>
      <c r="S54" s="257">
        <f t="shared" si="13"/>
        <v>0</v>
      </c>
      <c r="T54" s="257">
        <f t="shared" si="13"/>
        <v>0</v>
      </c>
      <c r="U54" s="257">
        <f t="shared" si="13"/>
        <v>0</v>
      </c>
      <c r="V54" s="257">
        <f t="shared" si="13"/>
        <v>0</v>
      </c>
      <c r="W54" s="257">
        <f t="shared" si="13"/>
        <v>0</v>
      </c>
      <c r="X54" s="257">
        <f t="shared" si="14"/>
        <v>0</v>
      </c>
      <c r="Y54" s="257">
        <f t="shared" si="14"/>
        <v>0</v>
      </c>
      <c r="Z54" s="257">
        <f t="shared" si="14"/>
        <v>0</v>
      </c>
      <c r="AA54" s="257">
        <f t="shared" si="14"/>
        <v>0</v>
      </c>
      <c r="AB54" s="273"/>
      <c r="AC54" s="195"/>
    </row>
    <row r="55" spans="1:29" ht="25.5">
      <c r="A55" s="195"/>
      <c r="B55" s="195"/>
      <c r="C55" s="156" t="s">
        <v>57</v>
      </c>
      <c r="D55" s="226">
        <f>Dati!D7</f>
        <v>0</v>
      </c>
      <c r="E55" s="274"/>
      <c r="F55" s="256">
        <f>D55/$F$5</f>
        <v>0</v>
      </c>
      <c r="H55" s="257">
        <f t="shared" si="13"/>
        <v>0</v>
      </c>
      <c r="I55" s="257">
        <f t="shared" si="13"/>
        <v>0</v>
      </c>
      <c r="J55" s="257">
        <f t="shared" si="13"/>
        <v>0</v>
      </c>
      <c r="K55" s="257">
        <f t="shared" si="13"/>
        <v>0</v>
      </c>
      <c r="L55" s="257">
        <f t="shared" si="13"/>
        <v>0</v>
      </c>
      <c r="M55" s="257">
        <f t="shared" si="13"/>
        <v>0</v>
      </c>
      <c r="N55" s="257">
        <f t="shared" si="13"/>
        <v>0</v>
      </c>
      <c r="O55" s="257">
        <f t="shared" si="13"/>
        <v>0</v>
      </c>
      <c r="P55" s="257">
        <f t="shared" si="13"/>
        <v>0</v>
      </c>
      <c r="Q55" s="257">
        <f t="shared" si="13"/>
        <v>0</v>
      </c>
      <c r="R55" s="257">
        <f t="shared" si="13"/>
        <v>0</v>
      </c>
      <c r="S55" s="257">
        <f t="shared" si="13"/>
        <v>0</v>
      </c>
      <c r="T55" s="257">
        <f t="shared" si="13"/>
        <v>0</v>
      </c>
      <c r="U55" s="257">
        <f t="shared" si="13"/>
        <v>0</v>
      </c>
      <c r="V55" s="257">
        <f t="shared" si="13"/>
        <v>0</v>
      </c>
      <c r="W55" s="257">
        <f t="shared" si="13"/>
        <v>0</v>
      </c>
      <c r="X55" s="257">
        <f t="shared" si="14"/>
        <v>0</v>
      </c>
      <c r="Y55" s="257">
        <f t="shared" si="14"/>
        <v>0</v>
      </c>
      <c r="Z55" s="257">
        <f t="shared" si="14"/>
        <v>0</v>
      </c>
      <c r="AA55" s="257">
        <f t="shared" si="14"/>
        <v>0</v>
      </c>
      <c r="AB55" s="273"/>
      <c r="AC55" s="195"/>
    </row>
    <row r="56" spans="5:28" ht="15">
      <c r="E56" s="166"/>
      <c r="F56" s="248"/>
      <c r="H56" s="166"/>
      <c r="I56" s="166"/>
      <c r="J56" s="166"/>
      <c r="K56" s="166"/>
      <c r="L56" s="166"/>
      <c r="M56" s="166"/>
      <c r="N56" s="166"/>
      <c r="O56" s="166"/>
      <c r="P56" s="166"/>
      <c r="Q56" s="166"/>
      <c r="R56" s="166"/>
      <c r="S56" s="166"/>
      <c r="T56" s="166"/>
      <c r="U56" s="166"/>
      <c r="V56" s="166"/>
      <c r="W56" s="166"/>
      <c r="X56" s="166"/>
      <c r="Y56" s="166"/>
      <c r="Z56" s="166"/>
      <c r="AA56" s="166"/>
      <c r="AB56" s="166"/>
    </row>
    <row r="88" spans="5:28" ht="15">
      <c r="E88" s="166"/>
      <c r="H88" s="166"/>
      <c r="I88" s="166"/>
      <c r="J88" s="166"/>
      <c r="K88" s="166"/>
      <c r="L88" s="166"/>
      <c r="M88" s="166"/>
      <c r="N88" s="166"/>
      <c r="O88" s="166"/>
      <c r="P88" s="166"/>
      <c r="Q88" s="166"/>
      <c r="R88" s="166"/>
      <c r="S88" s="166"/>
      <c r="T88" s="166"/>
      <c r="U88" s="166"/>
      <c r="V88" s="166"/>
      <c r="W88" s="166"/>
      <c r="X88" s="166"/>
      <c r="Y88" s="166"/>
      <c r="Z88" s="166"/>
      <c r="AA88" s="166"/>
      <c r="AB88" s="166"/>
    </row>
    <row r="89" spans="5:28" ht="15">
      <c r="E89" s="166"/>
      <c r="H89" s="166"/>
      <c r="I89" s="166"/>
      <c r="J89" s="166"/>
      <c r="K89" s="166"/>
      <c r="L89" s="166"/>
      <c r="M89" s="166"/>
      <c r="N89" s="166"/>
      <c r="O89" s="166"/>
      <c r="P89" s="166"/>
      <c r="Q89" s="166"/>
      <c r="R89" s="166"/>
      <c r="S89" s="166"/>
      <c r="T89" s="166"/>
      <c r="U89" s="166"/>
      <c r="V89" s="166"/>
      <c r="W89" s="166"/>
      <c r="X89" s="166"/>
      <c r="Y89" s="166"/>
      <c r="Z89" s="166"/>
      <c r="AA89" s="166"/>
      <c r="AB89" s="166"/>
    </row>
    <row r="90" spans="5:28" ht="15">
      <c r="E90" s="166"/>
      <c r="H90" s="166"/>
      <c r="I90" s="166"/>
      <c r="J90" s="166"/>
      <c r="K90" s="166"/>
      <c r="L90" s="166"/>
      <c r="M90" s="166"/>
      <c r="N90" s="166"/>
      <c r="O90" s="166"/>
      <c r="P90" s="166"/>
      <c r="Q90" s="166"/>
      <c r="R90" s="166"/>
      <c r="S90" s="166"/>
      <c r="T90" s="166"/>
      <c r="U90" s="166"/>
      <c r="V90" s="166"/>
      <c r="W90" s="166"/>
      <c r="X90" s="166"/>
      <c r="Y90" s="166"/>
      <c r="Z90" s="166"/>
      <c r="AA90" s="166"/>
      <c r="AB90" s="166"/>
    </row>
    <row r="91" spans="5:28" ht="15">
      <c r="E91" s="166"/>
      <c r="H91" s="166"/>
      <c r="I91" s="166"/>
      <c r="J91" s="166"/>
      <c r="K91" s="166"/>
      <c r="L91" s="166"/>
      <c r="M91" s="166"/>
      <c r="N91" s="166"/>
      <c r="O91" s="166"/>
      <c r="P91" s="166"/>
      <c r="Q91" s="166"/>
      <c r="R91" s="166"/>
      <c r="S91" s="166"/>
      <c r="T91" s="166"/>
      <c r="U91" s="166"/>
      <c r="V91" s="166"/>
      <c r="W91" s="166"/>
      <c r="X91" s="166"/>
      <c r="Y91" s="166"/>
      <c r="Z91" s="166"/>
      <c r="AA91" s="166"/>
      <c r="AB91" s="166"/>
    </row>
    <row r="92" spans="5:28" ht="15">
      <c r="E92" s="166"/>
      <c r="H92" s="166"/>
      <c r="I92" s="166"/>
      <c r="J92" s="166"/>
      <c r="K92" s="166"/>
      <c r="L92" s="166"/>
      <c r="M92" s="166"/>
      <c r="N92" s="166"/>
      <c r="O92" s="166"/>
      <c r="P92" s="166"/>
      <c r="Q92" s="166"/>
      <c r="R92" s="166"/>
      <c r="S92" s="166"/>
      <c r="T92" s="166"/>
      <c r="U92" s="166"/>
      <c r="V92" s="166"/>
      <c r="W92" s="166"/>
      <c r="X92" s="166"/>
      <c r="Y92" s="166"/>
      <c r="Z92" s="166"/>
      <c r="AA92" s="166"/>
      <c r="AB92" s="166"/>
    </row>
    <row r="93" spans="5:28" ht="15">
      <c r="E93" s="166"/>
      <c r="H93" s="166"/>
      <c r="I93" s="166"/>
      <c r="J93" s="166"/>
      <c r="K93" s="166"/>
      <c r="L93" s="166"/>
      <c r="M93" s="166"/>
      <c r="N93" s="166"/>
      <c r="O93" s="166"/>
      <c r="P93" s="166"/>
      <c r="Q93" s="166"/>
      <c r="R93" s="166"/>
      <c r="S93" s="166"/>
      <c r="T93" s="166"/>
      <c r="U93" s="166"/>
      <c r="V93" s="166"/>
      <c r="W93" s="166"/>
      <c r="X93" s="166"/>
      <c r="Y93" s="166"/>
      <c r="Z93" s="166"/>
      <c r="AA93" s="166"/>
      <c r="AB93" s="166"/>
    </row>
    <row r="94" spans="5:28" ht="15">
      <c r="E94" s="166"/>
      <c r="H94" s="166"/>
      <c r="I94" s="166"/>
      <c r="J94" s="166"/>
      <c r="K94" s="166"/>
      <c r="L94" s="166"/>
      <c r="M94" s="166"/>
      <c r="N94" s="166"/>
      <c r="O94" s="166"/>
      <c r="P94" s="166"/>
      <c r="Q94" s="166"/>
      <c r="R94" s="166"/>
      <c r="S94" s="166"/>
      <c r="T94" s="166"/>
      <c r="U94" s="166"/>
      <c r="V94" s="166"/>
      <c r="W94" s="166"/>
      <c r="X94" s="166"/>
      <c r="Y94" s="166"/>
      <c r="Z94" s="166"/>
      <c r="AA94" s="166"/>
      <c r="AB94" s="166"/>
    </row>
    <row r="95" spans="5:28" ht="15">
      <c r="E95" s="166"/>
      <c r="H95" s="166"/>
      <c r="I95" s="166"/>
      <c r="J95" s="166"/>
      <c r="K95" s="166"/>
      <c r="L95" s="166"/>
      <c r="M95" s="166"/>
      <c r="N95" s="166"/>
      <c r="O95" s="166"/>
      <c r="P95" s="166"/>
      <c r="Q95" s="166"/>
      <c r="R95" s="166"/>
      <c r="S95" s="166"/>
      <c r="T95" s="166"/>
      <c r="U95" s="166"/>
      <c r="V95" s="166"/>
      <c r="W95" s="166"/>
      <c r="X95" s="166"/>
      <c r="Y95" s="166"/>
      <c r="Z95" s="166"/>
      <c r="AA95" s="166"/>
      <c r="AB95" s="166"/>
    </row>
    <row r="96" spans="5:28" ht="15">
      <c r="E96" s="166"/>
      <c r="H96" s="166"/>
      <c r="I96" s="166"/>
      <c r="J96" s="166"/>
      <c r="K96" s="166"/>
      <c r="L96" s="166"/>
      <c r="M96" s="166"/>
      <c r="N96" s="166"/>
      <c r="O96" s="166"/>
      <c r="P96" s="166"/>
      <c r="Q96" s="166"/>
      <c r="R96" s="166"/>
      <c r="S96" s="166"/>
      <c r="T96" s="166"/>
      <c r="U96" s="166"/>
      <c r="V96" s="166"/>
      <c r="W96" s="166"/>
      <c r="X96" s="166"/>
      <c r="Y96" s="166"/>
      <c r="Z96" s="166"/>
      <c r="AA96" s="166"/>
      <c r="AB96" s="166"/>
    </row>
    <row r="97" spans="5:28" ht="15">
      <c r="E97" s="166"/>
      <c r="H97" s="166"/>
      <c r="I97" s="166"/>
      <c r="J97" s="166"/>
      <c r="K97" s="166"/>
      <c r="L97" s="166"/>
      <c r="M97" s="166"/>
      <c r="N97" s="166"/>
      <c r="O97" s="166"/>
      <c r="P97" s="166"/>
      <c r="Q97" s="166"/>
      <c r="R97" s="166"/>
      <c r="S97" s="166"/>
      <c r="T97" s="166"/>
      <c r="U97" s="166"/>
      <c r="V97" s="166"/>
      <c r="W97" s="166"/>
      <c r="X97" s="166"/>
      <c r="Y97" s="166"/>
      <c r="Z97" s="166"/>
      <c r="AA97" s="166"/>
      <c r="AB97" s="166"/>
    </row>
    <row r="98" spans="5:28" ht="15">
      <c r="E98" s="166"/>
      <c r="H98" s="166"/>
      <c r="I98" s="166"/>
      <c r="J98" s="166"/>
      <c r="K98" s="166"/>
      <c r="L98" s="166"/>
      <c r="M98" s="166"/>
      <c r="N98" s="166"/>
      <c r="O98" s="166"/>
      <c r="P98" s="166"/>
      <c r="Q98" s="166"/>
      <c r="R98" s="166"/>
      <c r="S98" s="166"/>
      <c r="T98" s="166"/>
      <c r="U98" s="166"/>
      <c r="V98" s="166"/>
      <c r="W98" s="166"/>
      <c r="X98" s="166"/>
      <c r="Y98" s="166"/>
      <c r="Z98" s="166"/>
      <c r="AA98" s="166"/>
      <c r="AB98" s="166"/>
    </row>
    <row r="99" spans="5:28" ht="15">
      <c r="E99" s="166"/>
      <c r="H99" s="166"/>
      <c r="I99" s="166"/>
      <c r="J99" s="166"/>
      <c r="K99" s="166"/>
      <c r="L99" s="166"/>
      <c r="M99" s="166"/>
      <c r="N99" s="166"/>
      <c r="O99" s="166"/>
      <c r="P99" s="166"/>
      <c r="Q99" s="166"/>
      <c r="R99" s="166"/>
      <c r="S99" s="166"/>
      <c r="T99" s="166"/>
      <c r="U99" s="166"/>
      <c r="V99" s="166"/>
      <c r="W99" s="166"/>
      <c r="X99" s="166"/>
      <c r="Y99" s="166"/>
      <c r="Z99" s="166"/>
      <c r="AA99" s="166"/>
      <c r="AB99" s="166"/>
    </row>
    <row r="100" spans="5:28" ht="15">
      <c r="E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row>
    <row r="101" spans="5:28" ht="15">
      <c r="E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row>
    <row r="102" spans="5:28" ht="15">
      <c r="E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row>
    <row r="103" spans="5:28" ht="15">
      <c r="E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row>
    <row r="104" spans="5:28" ht="15">
      <c r="E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row>
    <row r="105" spans="5:28" ht="15">
      <c r="E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row>
    <row r="106" spans="5:28" ht="15">
      <c r="E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row>
    <row r="107" spans="5:28" ht="15">
      <c r="E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row>
    <row r="108" spans="5:28" ht="15">
      <c r="E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row>
    <row r="109" spans="5:28" ht="15">
      <c r="E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row>
    <row r="110" spans="5:28" ht="15">
      <c r="E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row>
    <row r="111" spans="5:28" ht="15">
      <c r="E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row>
    <row r="112" spans="5:28" ht="15">
      <c r="E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row>
    <row r="113" spans="5:28" ht="15">
      <c r="E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row>
    <row r="114" spans="5:28" ht="15">
      <c r="E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row>
    <row r="115" spans="5:28" ht="15">
      <c r="E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row>
    <row r="116" spans="5:28" ht="15">
      <c r="E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row>
    <row r="117" spans="5:28" ht="15">
      <c r="E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row>
    <row r="118" spans="5:28" ht="15">
      <c r="E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row>
    <row r="119" spans="5:28" ht="15">
      <c r="E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row>
    <row r="120" spans="5:28" ht="15">
      <c r="E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row>
    <row r="121" spans="5:28" ht="15">
      <c r="E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row>
    <row r="122" spans="5:28" ht="15">
      <c r="E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row>
    <row r="123" spans="5:28" ht="15">
      <c r="E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row>
    <row r="124" spans="5:28" ht="15">
      <c r="E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row>
    <row r="125" spans="5:28" ht="15">
      <c r="E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row>
    <row r="126" spans="5:28" ht="15">
      <c r="E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row>
    <row r="127" spans="5:28" ht="15">
      <c r="E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row>
    <row r="128" spans="5:28" ht="15">
      <c r="E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row>
    <row r="129" spans="5:28" ht="15">
      <c r="E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row>
    <row r="130" spans="5:28" ht="15">
      <c r="E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row>
    <row r="131" spans="5:28" ht="15">
      <c r="E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row>
    <row r="132" spans="5:28" ht="15">
      <c r="E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row>
    <row r="133" spans="5:28" ht="15">
      <c r="E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row>
    <row r="134" spans="5:28" ht="15">
      <c r="E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row>
    <row r="135" spans="5:28" ht="15">
      <c r="E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row>
    <row r="136" spans="5:28" ht="15">
      <c r="E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row>
    <row r="137" spans="5:28" ht="15">
      <c r="E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row>
    <row r="138" spans="5:28" ht="15">
      <c r="E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row>
    <row r="139" spans="5:28" ht="15">
      <c r="E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row>
    <row r="140" spans="5:28" ht="15">
      <c r="E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row>
    <row r="141" spans="5:28" ht="15">
      <c r="E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row>
    <row r="142" spans="5:28" ht="15">
      <c r="E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row>
    <row r="143" spans="5:28" ht="15">
      <c r="E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row>
    <row r="144" spans="5:28" ht="15">
      <c r="E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row>
    <row r="145" spans="5:28" ht="15">
      <c r="E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row>
    <row r="146" spans="5:28" ht="15">
      <c r="E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row>
    <row r="147" spans="5:28" ht="15">
      <c r="E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row>
    <row r="148" spans="5:28" ht="15">
      <c r="E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row>
    <row r="149" spans="5:28" ht="15">
      <c r="E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row>
    <row r="150" spans="5:28" ht="15">
      <c r="E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row>
    <row r="151" spans="5:28" ht="15">
      <c r="E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row>
    <row r="152" spans="5:28" ht="15">
      <c r="E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row>
    <row r="153" spans="5:28" ht="15">
      <c r="E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row>
    <row r="154" spans="5:28" ht="15">
      <c r="E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row>
    <row r="155" spans="5:28" ht="15">
      <c r="E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row>
    <row r="156" spans="5:28" ht="15">
      <c r="E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row>
    <row r="157" spans="5:28" ht="15">
      <c r="E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row>
    <row r="158" spans="5:28" ht="15">
      <c r="E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row>
    <row r="159" spans="5:28" ht="15">
      <c r="E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row>
    <row r="160" spans="5:28" ht="15">
      <c r="E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row>
    <row r="161" spans="5:28" ht="15">
      <c r="E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row>
    <row r="162" spans="5:28" ht="15">
      <c r="E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row>
    <row r="163" spans="5:28" ht="15">
      <c r="E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row>
    <row r="164" spans="5:28" ht="15">
      <c r="E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row>
    <row r="165" spans="5:28" ht="15">
      <c r="E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row>
    <row r="166" spans="5:28" ht="15">
      <c r="E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row>
    <row r="167" spans="5:28" ht="15">
      <c r="E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row>
    <row r="168" spans="5:28" ht="15">
      <c r="E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row>
    <row r="169" spans="5:28" ht="15">
      <c r="E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row>
    <row r="170" spans="5:28" ht="15">
      <c r="E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row>
    <row r="171" spans="5:28" ht="15">
      <c r="E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row>
    <row r="172" spans="5:28" ht="15">
      <c r="E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5:28" ht="15">
      <c r="E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5:28" ht="15">
      <c r="E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5:28" ht="15">
      <c r="E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row>
    <row r="176" spans="5:28" ht="15">
      <c r="E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row>
    <row r="177" spans="5:28" ht="15">
      <c r="E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row>
    <row r="178" spans="5:28" ht="15">
      <c r="E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row>
    <row r="179" spans="5:28" ht="15">
      <c r="E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row>
    <row r="180" spans="5:28" ht="15">
      <c r="E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row>
    <row r="181" spans="5:28" ht="15">
      <c r="E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row>
    <row r="182" spans="5:28" ht="15">
      <c r="E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row>
    <row r="183" spans="5:28" ht="15">
      <c r="E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row>
    <row r="184" spans="5:28" ht="15">
      <c r="E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row>
    <row r="185" spans="5:28" ht="15">
      <c r="E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row>
    <row r="186" spans="5:28" ht="15">
      <c r="E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row>
    <row r="187" spans="5:28" ht="15">
      <c r="E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56"/>
  <sheetViews>
    <sheetView showGridLines="0" zoomScale="55" zoomScaleNormal="55" zoomScalePageLayoutView="0" workbookViewId="0" topLeftCell="D1">
      <pane ySplit="3" topLeftCell="A4" activePane="bottomLeft" state="frozen"/>
      <selection pane="topLeft" activeCell="V8" sqref="V8:AA8"/>
      <selection pane="bottomLeft" activeCell="X34" sqref="X34"/>
    </sheetView>
  </sheetViews>
  <sheetFormatPr defaultColWidth="0" defaultRowHeight="15.75"/>
  <cols>
    <col min="1" max="1" width="3.125" style="152" customWidth="1"/>
    <col min="2" max="2" width="6.125" style="152" hidden="1" customWidth="1"/>
    <col min="3" max="3" width="68.50390625" style="241" customWidth="1"/>
    <col min="4" max="4" width="9.00390625" style="152" customWidth="1"/>
    <col min="5" max="5" width="9.00390625" style="230" hidden="1" customWidth="1"/>
    <col min="6" max="6" width="14.50390625" style="233" customWidth="1" collapsed="1"/>
    <col min="7" max="7" width="9.375" style="233" customWidth="1"/>
    <col min="8" max="9" width="10.375" style="233" bestFit="1" customWidth="1"/>
    <col min="10" max="28" width="9.00390625" style="233" customWidth="1"/>
    <col min="29" max="29" width="9.00390625" style="152" hidden="1" customWidth="1"/>
    <col min="30" max="16384" width="9.00390625" style="0" hidden="1" customWidth="1"/>
  </cols>
  <sheetData>
    <row r="1" spans="1:29" ht="15">
      <c r="A1" s="157" t="s">
        <v>253</v>
      </c>
      <c r="B1" s="150"/>
      <c r="C1" s="150"/>
      <c r="D1" s="157"/>
      <c r="E1" s="227"/>
      <c r="F1" s="280"/>
      <c r="G1" s="281"/>
      <c r="H1" s="281"/>
      <c r="I1" s="281"/>
      <c r="J1" s="281"/>
      <c r="K1" s="281"/>
      <c r="L1" s="281"/>
      <c r="M1" s="281"/>
      <c r="N1" s="281"/>
      <c r="O1" s="281"/>
      <c r="P1" s="281"/>
      <c r="Q1" s="281"/>
      <c r="R1" s="281"/>
      <c r="S1" s="281"/>
      <c r="T1" s="281"/>
      <c r="U1" s="281"/>
      <c r="V1" s="281"/>
      <c r="W1" s="281"/>
      <c r="X1" s="281"/>
      <c r="Y1" s="281"/>
      <c r="Z1" s="281"/>
      <c r="AA1" s="281"/>
      <c r="AB1" s="281"/>
      <c r="AC1" s="154"/>
    </row>
    <row r="2" spans="1:29" ht="15">
      <c r="A2" s="157"/>
      <c r="B2" s="150"/>
      <c r="C2" s="157" t="s">
        <v>254</v>
      </c>
      <c r="D2" s="151"/>
      <c r="E2" s="151"/>
      <c r="F2" s="282"/>
      <c r="G2" s="28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c r="AC2" s="154"/>
    </row>
    <row r="3" spans="1:29" ht="15">
      <c r="A3" s="157"/>
      <c r="B3" s="150"/>
      <c r="C3" s="157" t="s">
        <v>3</v>
      </c>
      <c r="D3" s="157"/>
      <c r="E3" s="157">
        <v>2014</v>
      </c>
      <c r="F3" s="151">
        <v>2015</v>
      </c>
      <c r="G3" s="151">
        <v>2016</v>
      </c>
      <c r="H3" s="151">
        <v>2017</v>
      </c>
      <c r="I3" s="151">
        <v>2018</v>
      </c>
      <c r="J3" s="151">
        <v>2019</v>
      </c>
      <c r="K3" s="151">
        <v>2020</v>
      </c>
      <c r="L3" s="151">
        <v>2021</v>
      </c>
      <c r="M3" s="151">
        <v>2022</v>
      </c>
      <c r="N3" s="151">
        <v>2023</v>
      </c>
      <c r="O3" s="151">
        <v>2024</v>
      </c>
      <c r="P3" s="151">
        <v>2025</v>
      </c>
      <c r="Q3" s="151">
        <v>2026</v>
      </c>
      <c r="R3" s="151">
        <v>2027</v>
      </c>
      <c r="S3" s="151">
        <v>2028</v>
      </c>
      <c r="T3" s="151">
        <v>2029</v>
      </c>
      <c r="U3" s="151">
        <v>2030</v>
      </c>
      <c r="V3" s="151">
        <v>2031</v>
      </c>
      <c r="W3" s="151">
        <v>2032</v>
      </c>
      <c r="X3" s="151">
        <v>2033</v>
      </c>
      <c r="Y3" s="151">
        <v>2034</v>
      </c>
      <c r="Z3" s="151">
        <v>2035</v>
      </c>
      <c r="AA3" s="151">
        <v>2036</v>
      </c>
      <c r="AB3" s="158" t="s">
        <v>21</v>
      </c>
      <c r="AC3" s="159"/>
    </row>
    <row r="4" spans="1:29" ht="15">
      <c r="A4" s="163" t="s">
        <v>150</v>
      </c>
      <c r="B4" s="163"/>
      <c r="C4" s="238" t="s">
        <v>255</v>
      </c>
      <c r="D4" s="163"/>
      <c r="E4" s="228"/>
      <c r="F4" s="244"/>
      <c r="G4" s="244"/>
      <c r="H4" s="244"/>
      <c r="I4" s="244"/>
      <c r="J4" s="244"/>
      <c r="K4" s="244"/>
      <c r="L4" s="244"/>
      <c r="M4" s="244"/>
      <c r="N4" s="244"/>
      <c r="O4" s="244"/>
      <c r="P4" s="244"/>
      <c r="Q4" s="244"/>
      <c r="R4" s="244"/>
      <c r="S4" s="244"/>
      <c r="T4" s="244"/>
      <c r="U4" s="244"/>
      <c r="V4" s="244"/>
      <c r="W4" s="244"/>
      <c r="X4" s="244"/>
      <c r="Y4" s="244"/>
      <c r="Z4" s="244"/>
      <c r="AA4" s="244"/>
      <c r="AB4" s="244"/>
      <c r="AC4" s="163"/>
    </row>
    <row r="5" spans="3:7" ht="15">
      <c r="C5" s="172" t="s">
        <v>682</v>
      </c>
      <c r="D5" s="152" t="s">
        <v>152</v>
      </c>
      <c r="F5" s="246">
        <f>Pamatskolas!L102</f>
        <v>19073</v>
      </c>
      <c r="G5" s="249"/>
    </row>
    <row r="6" spans="3:7" ht="15">
      <c r="C6" s="240" t="s">
        <v>304</v>
      </c>
      <c r="G6" s="373">
        <f>-Pamatskolas!M120/8</f>
        <v>0.005038069111359956</v>
      </c>
    </row>
    <row r="7" spans="1:29" ht="15">
      <c r="A7" s="206"/>
      <c r="B7" s="206"/>
      <c r="C7" s="239" t="s">
        <v>282</v>
      </c>
      <c r="D7" s="206"/>
      <c r="E7" s="229"/>
      <c r="F7" s="245"/>
      <c r="G7" s="245"/>
      <c r="H7" s="245"/>
      <c r="I7" s="245"/>
      <c r="J7" s="245"/>
      <c r="K7" s="245"/>
      <c r="L7" s="245"/>
      <c r="M7" s="245"/>
      <c r="N7" s="245"/>
      <c r="O7" s="245"/>
      <c r="P7" s="245"/>
      <c r="Q7" s="245"/>
      <c r="R7" s="245"/>
      <c r="S7" s="245"/>
      <c r="T7" s="245"/>
      <c r="U7" s="245"/>
      <c r="V7" s="245"/>
      <c r="W7" s="245"/>
      <c r="X7" s="245"/>
      <c r="Y7" s="245"/>
      <c r="Z7" s="245"/>
      <c r="AA7" s="245"/>
      <c r="AB7" s="245"/>
      <c r="AC7" s="206"/>
    </row>
    <row r="8" spans="3:27" ht="15">
      <c r="C8" s="175" t="s">
        <v>266</v>
      </c>
      <c r="G8" s="247"/>
      <c r="H8" s="246">
        <f>Pamatskolas!K102*(1-$G$6)</f>
        <v>18072.488512661257</v>
      </c>
      <c r="I8" s="246">
        <f>Pamatskolas!J102*(1-$G$6*2)</f>
        <v>18388.825656374756</v>
      </c>
      <c r="J8" s="246">
        <f>Pamatskolas!I102*(1-$G$6*3)</f>
        <v>18473.502813034665</v>
      </c>
      <c r="K8" s="246">
        <f>Pamatskolas!H102*(1-$G$6*4)</f>
        <v>18070.351717793197</v>
      </c>
      <c r="L8" s="246">
        <f>Pamatskolas!G102*(1-$G$6*5)</f>
        <v>18895.710341726994</v>
      </c>
      <c r="M8" s="246">
        <f>Pamatskolas!F102*(1-$G$6*6)</f>
        <v>19537.988129680587</v>
      </c>
      <c r="N8" s="246">
        <f>Pamatskolas!E102*(1-$G$6*7)</f>
        <v>20528.5644916556</v>
      </c>
      <c r="O8" s="246">
        <f>Pamatskolas!D102*(1-$G$6*8)</f>
        <v>21400.248775086275</v>
      </c>
      <c r="P8" s="246">
        <f>ROUND(Pamatskolas!D100*(1-$G$6*8),0)</f>
        <v>19577</v>
      </c>
      <c r="Q8" s="246">
        <f>ROUND(Pamatskolas!D99*(1-$G$6*8),0)</f>
        <v>18984</v>
      </c>
      <c r="R8" s="246">
        <f>ROUND(Pamatskolas!D98*(1-$G$6*8),0)</f>
        <v>18066</v>
      </c>
      <c r="S8" s="246">
        <f>ROUND(Pamatskolas!D97*(1-$G$6*8),0)</f>
        <v>19095</v>
      </c>
      <c r="T8" s="246">
        <f>ROUND(Pamatskolas!D96*(1-$G$6*8),0)</f>
        <v>19766</v>
      </c>
      <c r="U8" s="246">
        <f>ROUND(Pamatskolas!D95*(1-$G$6*8),0)</f>
        <v>20870</v>
      </c>
      <c r="V8" s="246">
        <f>ROUND(Pamatskolas!D94*(1-$G$6*8),0)</f>
        <v>20992</v>
      </c>
      <c r="W8" s="246">
        <f>ROUND(Pamatskolas!D93*(1-$G$6*8),0)</f>
        <v>19758</v>
      </c>
      <c r="X8" s="246">
        <f>ROUND(Pamatskolas!D92*(1-$G$6*8),0)</f>
        <v>20096</v>
      </c>
      <c r="Y8" s="246">
        <f>ROUND(Pamatskolas!D91*(1-$G$6*8),0)</f>
        <v>20296</v>
      </c>
      <c r="Z8" s="246">
        <f>ROUND(Pamatskolas!D90*(1-$G$6*8),0)</f>
        <v>20402</v>
      </c>
      <c r="AA8" s="246">
        <f>ROUND(Pamatskolas!D89*(1-$G$6*8),0)</f>
        <v>20309</v>
      </c>
    </row>
    <row r="9" spans="1:29" ht="15">
      <c r="A9" s="206"/>
      <c r="B9" s="206"/>
      <c r="C9" s="239" t="s">
        <v>282</v>
      </c>
      <c r="D9" s="206"/>
      <c r="E9" s="229"/>
      <c r="F9" s="245"/>
      <c r="G9" s="245"/>
      <c r="H9" s="245"/>
      <c r="I9" s="245"/>
      <c r="J9" s="245"/>
      <c r="K9" s="245"/>
      <c r="L9" s="245"/>
      <c r="M9" s="245"/>
      <c r="N9" s="245"/>
      <c r="O9" s="245"/>
      <c r="P9" s="245"/>
      <c r="Q9" s="245"/>
      <c r="R9" s="245"/>
      <c r="S9" s="245"/>
      <c r="T9" s="245"/>
      <c r="U9" s="245"/>
      <c r="V9" s="245"/>
      <c r="W9" s="245"/>
      <c r="X9" s="245"/>
      <c r="Y9" s="245"/>
      <c r="Z9" s="245"/>
      <c r="AA9" s="245"/>
      <c r="AB9" s="245"/>
      <c r="AC9" s="206"/>
    </row>
    <row r="10" spans="3:27" ht="15">
      <c r="C10" s="242" t="s">
        <v>393</v>
      </c>
      <c r="D10" s="154" t="s">
        <v>13</v>
      </c>
      <c r="G10" s="258">
        <f>'Izglītojamie - ar projektu'!G10</f>
        <v>0.5522622275484982</v>
      </c>
      <c r="H10" s="258">
        <f>G10</f>
        <v>0.5522622275484982</v>
      </c>
      <c r="I10" s="258">
        <f aca="true" t="shared" si="0" ref="I10:AA10">H10</f>
        <v>0.5522622275484982</v>
      </c>
      <c r="J10" s="258">
        <f t="shared" si="0"/>
        <v>0.5522622275484982</v>
      </c>
      <c r="K10" s="258">
        <f t="shared" si="0"/>
        <v>0.5522622275484982</v>
      </c>
      <c r="L10" s="258">
        <f t="shared" si="0"/>
        <v>0.5522622275484982</v>
      </c>
      <c r="M10" s="258">
        <f t="shared" si="0"/>
        <v>0.5522622275484982</v>
      </c>
      <c r="N10" s="258">
        <f t="shared" si="0"/>
        <v>0.5522622275484982</v>
      </c>
      <c r="O10" s="258">
        <f t="shared" si="0"/>
        <v>0.5522622275484982</v>
      </c>
      <c r="P10" s="258">
        <f t="shared" si="0"/>
        <v>0.5522622275484982</v>
      </c>
      <c r="Q10" s="258">
        <f t="shared" si="0"/>
        <v>0.5522622275484982</v>
      </c>
      <c r="R10" s="258">
        <f t="shared" si="0"/>
        <v>0.5522622275484982</v>
      </c>
      <c r="S10" s="258">
        <f t="shared" si="0"/>
        <v>0.5522622275484982</v>
      </c>
      <c r="T10" s="258">
        <f t="shared" si="0"/>
        <v>0.5522622275484982</v>
      </c>
      <c r="U10" s="258">
        <f t="shared" si="0"/>
        <v>0.5522622275484982</v>
      </c>
      <c r="V10" s="258">
        <f t="shared" si="0"/>
        <v>0.5522622275484982</v>
      </c>
      <c r="W10" s="258">
        <f t="shared" si="0"/>
        <v>0.5522622275484982</v>
      </c>
      <c r="X10" s="258">
        <f t="shared" si="0"/>
        <v>0.5522622275484982</v>
      </c>
      <c r="Y10" s="258">
        <f t="shared" si="0"/>
        <v>0.5522622275484982</v>
      </c>
      <c r="Z10" s="258">
        <f t="shared" si="0"/>
        <v>0.5522622275484982</v>
      </c>
      <c r="AA10" s="258">
        <f t="shared" si="0"/>
        <v>0.5522622275484982</v>
      </c>
    </row>
    <row r="11" spans="3:27" ht="15">
      <c r="C11" s="242" t="s">
        <v>394</v>
      </c>
      <c r="D11" s="154" t="s">
        <v>13</v>
      </c>
      <c r="G11" s="258">
        <f>'Izglītojamie - ar projektu'!G11</f>
        <v>0.3627377724515018</v>
      </c>
      <c r="H11" s="258">
        <f>G11</f>
        <v>0.3627377724515018</v>
      </c>
      <c r="I11" s="258">
        <f aca="true" t="shared" si="1" ref="I11:AA11">H11</f>
        <v>0.3627377724515018</v>
      </c>
      <c r="J11" s="258">
        <f t="shared" si="1"/>
        <v>0.3627377724515018</v>
      </c>
      <c r="K11" s="258">
        <f t="shared" si="1"/>
        <v>0.3627377724515018</v>
      </c>
      <c r="L11" s="258">
        <f t="shared" si="1"/>
        <v>0.3627377724515018</v>
      </c>
      <c r="M11" s="258">
        <f t="shared" si="1"/>
        <v>0.3627377724515018</v>
      </c>
      <c r="N11" s="258">
        <f t="shared" si="1"/>
        <v>0.3627377724515018</v>
      </c>
      <c r="O11" s="258">
        <f t="shared" si="1"/>
        <v>0.3627377724515018</v>
      </c>
      <c r="P11" s="258">
        <f t="shared" si="1"/>
        <v>0.3627377724515018</v>
      </c>
      <c r="Q11" s="258">
        <f t="shared" si="1"/>
        <v>0.3627377724515018</v>
      </c>
      <c r="R11" s="258">
        <f t="shared" si="1"/>
        <v>0.3627377724515018</v>
      </c>
      <c r="S11" s="258">
        <f t="shared" si="1"/>
        <v>0.3627377724515018</v>
      </c>
      <c r="T11" s="258">
        <f t="shared" si="1"/>
        <v>0.3627377724515018</v>
      </c>
      <c r="U11" s="258">
        <f t="shared" si="1"/>
        <v>0.3627377724515018</v>
      </c>
      <c r="V11" s="258">
        <f t="shared" si="1"/>
        <v>0.3627377724515018</v>
      </c>
      <c r="W11" s="258">
        <f t="shared" si="1"/>
        <v>0.3627377724515018</v>
      </c>
      <c r="X11" s="258">
        <f t="shared" si="1"/>
        <v>0.3627377724515018</v>
      </c>
      <c r="Y11" s="258">
        <f t="shared" si="1"/>
        <v>0.3627377724515018</v>
      </c>
      <c r="Z11" s="258">
        <f t="shared" si="1"/>
        <v>0.3627377724515018</v>
      </c>
      <c r="AA11" s="258">
        <f t="shared" si="1"/>
        <v>0.3627377724515018</v>
      </c>
    </row>
    <row r="12" spans="3:27" ht="15">
      <c r="C12" s="242" t="s">
        <v>395</v>
      </c>
      <c r="D12" s="154" t="s">
        <v>13</v>
      </c>
      <c r="G12" s="258">
        <f>'Izglītojamie - ar projektu'!G12</f>
        <v>0.085</v>
      </c>
      <c r="H12" s="258">
        <f>G12</f>
        <v>0.085</v>
      </c>
      <c r="I12" s="258">
        <f aca="true" t="shared" si="2" ref="I12:AA12">H12</f>
        <v>0.085</v>
      </c>
      <c r="J12" s="258">
        <f t="shared" si="2"/>
        <v>0.085</v>
      </c>
      <c r="K12" s="258">
        <f t="shared" si="2"/>
        <v>0.085</v>
      </c>
      <c r="L12" s="258">
        <f t="shared" si="2"/>
        <v>0.085</v>
      </c>
      <c r="M12" s="258">
        <f t="shared" si="2"/>
        <v>0.085</v>
      </c>
      <c r="N12" s="258">
        <f t="shared" si="2"/>
        <v>0.085</v>
      </c>
      <c r="O12" s="258">
        <f t="shared" si="2"/>
        <v>0.085</v>
      </c>
      <c r="P12" s="258">
        <f t="shared" si="2"/>
        <v>0.085</v>
      </c>
      <c r="Q12" s="258">
        <f t="shared" si="2"/>
        <v>0.085</v>
      </c>
      <c r="R12" s="258">
        <f t="shared" si="2"/>
        <v>0.085</v>
      </c>
      <c r="S12" s="258">
        <f t="shared" si="2"/>
        <v>0.085</v>
      </c>
      <c r="T12" s="258">
        <f t="shared" si="2"/>
        <v>0.085</v>
      </c>
      <c r="U12" s="258">
        <f t="shared" si="2"/>
        <v>0.085</v>
      </c>
      <c r="V12" s="258">
        <f t="shared" si="2"/>
        <v>0.085</v>
      </c>
      <c r="W12" s="258">
        <f t="shared" si="2"/>
        <v>0.085</v>
      </c>
      <c r="X12" s="258">
        <f t="shared" si="2"/>
        <v>0.085</v>
      </c>
      <c r="Y12" s="258">
        <f t="shared" si="2"/>
        <v>0.085</v>
      </c>
      <c r="Z12" s="258">
        <f t="shared" si="2"/>
        <v>0.085</v>
      </c>
      <c r="AA12" s="258">
        <f t="shared" si="2"/>
        <v>0.085</v>
      </c>
    </row>
    <row r="14" spans="1:29" ht="15">
      <c r="A14" s="206"/>
      <c r="B14" s="206"/>
      <c r="C14" s="239" t="s">
        <v>603</v>
      </c>
      <c r="D14" s="206"/>
      <c r="E14" s="229"/>
      <c r="F14" s="245" t="s">
        <v>21</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06"/>
    </row>
    <row r="15" spans="3:27" ht="15">
      <c r="C15" s="241" t="s">
        <v>256</v>
      </c>
      <c r="D15" s="152" t="s">
        <v>152</v>
      </c>
      <c r="F15" s="246"/>
      <c r="H15" s="248">
        <f aca="true" t="shared" si="3" ref="H15:AA15">$F15*H$11</f>
        <v>0</v>
      </c>
      <c r="I15" s="248">
        <f t="shared" si="3"/>
        <v>0</v>
      </c>
      <c r="J15" s="250">
        <f t="shared" si="3"/>
        <v>0</v>
      </c>
      <c r="K15" s="251">
        <f t="shared" si="3"/>
        <v>0</v>
      </c>
      <c r="L15" s="251">
        <f t="shared" si="3"/>
        <v>0</v>
      </c>
      <c r="M15" s="251">
        <f t="shared" si="3"/>
        <v>0</v>
      </c>
      <c r="N15" s="251">
        <f t="shared" si="3"/>
        <v>0</v>
      </c>
      <c r="O15" s="251">
        <f t="shared" si="3"/>
        <v>0</v>
      </c>
      <c r="P15" s="251">
        <f t="shared" si="3"/>
        <v>0</v>
      </c>
      <c r="Q15" s="251">
        <f t="shared" si="3"/>
        <v>0</v>
      </c>
      <c r="R15" s="251">
        <f t="shared" si="3"/>
        <v>0</v>
      </c>
      <c r="S15" s="251">
        <f t="shared" si="3"/>
        <v>0</v>
      </c>
      <c r="T15" s="251">
        <f t="shared" si="3"/>
        <v>0</v>
      </c>
      <c r="U15" s="251">
        <f t="shared" si="3"/>
        <v>0</v>
      </c>
      <c r="V15" s="251">
        <f t="shared" si="3"/>
        <v>0</v>
      </c>
      <c r="W15" s="251">
        <f t="shared" si="3"/>
        <v>0</v>
      </c>
      <c r="X15" s="251">
        <f t="shared" si="3"/>
        <v>0</v>
      </c>
      <c r="Y15" s="251">
        <f t="shared" si="3"/>
        <v>0</v>
      </c>
      <c r="Z15" s="251">
        <f t="shared" si="3"/>
        <v>0</v>
      </c>
      <c r="AA15" s="251">
        <f t="shared" si="3"/>
        <v>0</v>
      </c>
    </row>
    <row r="16" spans="3:27" ht="15">
      <c r="C16" s="241" t="s">
        <v>257</v>
      </c>
      <c r="D16" s="152" t="s">
        <v>152</v>
      </c>
      <c r="F16" s="246">
        <f>H8</f>
        <v>18072.488512661257</v>
      </c>
      <c r="G16" s="248"/>
      <c r="H16" s="248">
        <f aca="true" t="shared" si="4" ref="H16:AA16">$F16*H$11</f>
        <v>6555.574225738099</v>
      </c>
      <c r="I16" s="248">
        <f t="shared" si="4"/>
        <v>6555.574225738099</v>
      </c>
      <c r="J16" s="248">
        <f t="shared" si="4"/>
        <v>6555.574225738099</v>
      </c>
      <c r="K16" s="250">
        <f t="shared" si="4"/>
        <v>6555.574225738099</v>
      </c>
      <c r="L16" s="251">
        <f t="shared" si="4"/>
        <v>6555.574225738099</v>
      </c>
      <c r="M16" s="251">
        <f t="shared" si="4"/>
        <v>6555.574225738099</v>
      </c>
      <c r="N16" s="251">
        <f t="shared" si="4"/>
        <v>6555.574225738099</v>
      </c>
      <c r="O16" s="251">
        <f t="shared" si="4"/>
        <v>6555.574225738099</v>
      </c>
      <c r="P16" s="251">
        <f t="shared" si="4"/>
        <v>6555.574225738099</v>
      </c>
      <c r="Q16" s="251">
        <f t="shared" si="4"/>
        <v>6555.574225738099</v>
      </c>
      <c r="R16" s="251">
        <f t="shared" si="4"/>
        <v>6555.574225738099</v>
      </c>
      <c r="S16" s="251">
        <f t="shared" si="4"/>
        <v>6555.574225738099</v>
      </c>
      <c r="T16" s="251">
        <f t="shared" si="4"/>
        <v>6555.574225738099</v>
      </c>
      <c r="U16" s="251">
        <f t="shared" si="4"/>
        <v>6555.574225738099</v>
      </c>
      <c r="V16" s="251">
        <f t="shared" si="4"/>
        <v>6555.574225738099</v>
      </c>
      <c r="W16" s="251">
        <f t="shared" si="4"/>
        <v>6555.574225738099</v>
      </c>
      <c r="X16" s="251">
        <f t="shared" si="4"/>
        <v>6555.574225738099</v>
      </c>
      <c r="Y16" s="251">
        <f t="shared" si="4"/>
        <v>6555.574225738099</v>
      </c>
      <c r="Z16" s="251">
        <f t="shared" si="4"/>
        <v>6555.574225738099</v>
      </c>
      <c r="AA16" s="251">
        <f t="shared" si="4"/>
        <v>6555.574225738099</v>
      </c>
    </row>
    <row r="17" spans="3:27" ht="15">
      <c r="C17" s="241" t="s">
        <v>258</v>
      </c>
      <c r="D17" s="152" t="s">
        <v>152</v>
      </c>
      <c r="F17" s="246">
        <f>I8</f>
        <v>18388.825656374756</v>
      </c>
      <c r="G17" s="248"/>
      <c r="H17" s="248"/>
      <c r="I17" s="248">
        <f aca="true" t="shared" si="5" ref="I17:AA17">$F17*I$11</f>
        <v>6670.321656592405</v>
      </c>
      <c r="J17" s="248">
        <f t="shared" si="5"/>
        <v>6670.321656592405</v>
      </c>
      <c r="K17" s="248">
        <f t="shared" si="5"/>
        <v>6670.321656592405</v>
      </c>
      <c r="L17" s="250">
        <f t="shared" si="5"/>
        <v>6670.321656592405</v>
      </c>
      <c r="M17" s="251">
        <f t="shared" si="5"/>
        <v>6670.321656592405</v>
      </c>
      <c r="N17" s="251">
        <f t="shared" si="5"/>
        <v>6670.321656592405</v>
      </c>
      <c r="O17" s="251">
        <f t="shared" si="5"/>
        <v>6670.321656592405</v>
      </c>
      <c r="P17" s="251">
        <f t="shared" si="5"/>
        <v>6670.321656592405</v>
      </c>
      <c r="Q17" s="251">
        <f t="shared" si="5"/>
        <v>6670.321656592405</v>
      </c>
      <c r="R17" s="251">
        <f t="shared" si="5"/>
        <v>6670.321656592405</v>
      </c>
      <c r="S17" s="251">
        <f t="shared" si="5"/>
        <v>6670.321656592405</v>
      </c>
      <c r="T17" s="251">
        <f t="shared" si="5"/>
        <v>6670.321656592405</v>
      </c>
      <c r="U17" s="251">
        <f t="shared" si="5"/>
        <v>6670.321656592405</v>
      </c>
      <c r="V17" s="251">
        <f t="shared" si="5"/>
        <v>6670.321656592405</v>
      </c>
      <c r="W17" s="251">
        <f t="shared" si="5"/>
        <v>6670.321656592405</v>
      </c>
      <c r="X17" s="251">
        <f t="shared" si="5"/>
        <v>6670.321656592405</v>
      </c>
      <c r="Y17" s="251">
        <f t="shared" si="5"/>
        <v>6670.321656592405</v>
      </c>
      <c r="Z17" s="251">
        <f t="shared" si="5"/>
        <v>6670.321656592405</v>
      </c>
      <c r="AA17" s="251">
        <f t="shared" si="5"/>
        <v>6670.321656592405</v>
      </c>
    </row>
    <row r="18" spans="3:27" ht="15">
      <c r="C18" s="241" t="s">
        <v>259</v>
      </c>
      <c r="D18" s="152" t="s">
        <v>152</v>
      </c>
      <c r="F18" s="246">
        <f>J8</f>
        <v>18473.502813034665</v>
      </c>
      <c r="G18" s="248"/>
      <c r="H18" s="248"/>
      <c r="I18" s="248"/>
      <c r="J18" s="248">
        <f aca="true" t="shared" si="6" ref="J18:AA18">$F18*J$11</f>
        <v>6701.037259776746</v>
      </c>
      <c r="K18" s="248">
        <f t="shared" si="6"/>
        <v>6701.037259776746</v>
      </c>
      <c r="L18" s="248">
        <f t="shared" si="6"/>
        <v>6701.037259776746</v>
      </c>
      <c r="M18" s="250">
        <f t="shared" si="6"/>
        <v>6701.037259776746</v>
      </c>
      <c r="N18" s="251">
        <f t="shared" si="6"/>
        <v>6701.037259776746</v>
      </c>
      <c r="O18" s="251">
        <f t="shared" si="6"/>
        <v>6701.037259776746</v>
      </c>
      <c r="P18" s="251">
        <f t="shared" si="6"/>
        <v>6701.037259776746</v>
      </c>
      <c r="Q18" s="251">
        <f t="shared" si="6"/>
        <v>6701.037259776746</v>
      </c>
      <c r="R18" s="251">
        <f t="shared" si="6"/>
        <v>6701.037259776746</v>
      </c>
      <c r="S18" s="251">
        <f t="shared" si="6"/>
        <v>6701.037259776746</v>
      </c>
      <c r="T18" s="251">
        <f t="shared" si="6"/>
        <v>6701.037259776746</v>
      </c>
      <c r="U18" s="251">
        <f t="shared" si="6"/>
        <v>6701.037259776746</v>
      </c>
      <c r="V18" s="251">
        <f t="shared" si="6"/>
        <v>6701.037259776746</v>
      </c>
      <c r="W18" s="251">
        <f t="shared" si="6"/>
        <v>6701.037259776746</v>
      </c>
      <c r="X18" s="251">
        <f t="shared" si="6"/>
        <v>6701.037259776746</v>
      </c>
      <c r="Y18" s="251">
        <f t="shared" si="6"/>
        <v>6701.037259776746</v>
      </c>
      <c r="Z18" s="251">
        <f t="shared" si="6"/>
        <v>6701.037259776746</v>
      </c>
      <c r="AA18" s="251">
        <f t="shared" si="6"/>
        <v>6701.037259776746</v>
      </c>
    </row>
    <row r="19" spans="3:27" ht="15">
      <c r="C19" s="241" t="s">
        <v>260</v>
      </c>
      <c r="D19" s="152" t="s">
        <v>152</v>
      </c>
      <c r="F19" s="246">
        <f>K8</f>
        <v>18070.351717793197</v>
      </c>
      <c r="G19" s="248"/>
      <c r="H19" s="248"/>
      <c r="I19" s="248"/>
      <c r="J19" s="248"/>
      <c r="K19" s="248">
        <f aca="true" t="shared" si="7" ref="K19:AA19">$F19*K$11</f>
        <v>6554.799129527473</v>
      </c>
      <c r="L19" s="248">
        <f t="shared" si="7"/>
        <v>6554.799129527473</v>
      </c>
      <c r="M19" s="248">
        <f t="shared" si="7"/>
        <v>6554.799129527473</v>
      </c>
      <c r="N19" s="250">
        <f t="shared" si="7"/>
        <v>6554.799129527473</v>
      </c>
      <c r="O19" s="251">
        <f t="shared" si="7"/>
        <v>6554.799129527473</v>
      </c>
      <c r="P19" s="251">
        <f t="shared" si="7"/>
        <v>6554.799129527473</v>
      </c>
      <c r="Q19" s="251">
        <f t="shared" si="7"/>
        <v>6554.799129527473</v>
      </c>
      <c r="R19" s="251">
        <f t="shared" si="7"/>
        <v>6554.799129527473</v>
      </c>
      <c r="S19" s="251">
        <f t="shared" si="7"/>
        <v>6554.799129527473</v>
      </c>
      <c r="T19" s="251">
        <f t="shared" si="7"/>
        <v>6554.799129527473</v>
      </c>
      <c r="U19" s="251">
        <f t="shared" si="7"/>
        <v>6554.799129527473</v>
      </c>
      <c r="V19" s="251">
        <f t="shared" si="7"/>
        <v>6554.799129527473</v>
      </c>
      <c r="W19" s="251">
        <f t="shared" si="7"/>
        <v>6554.799129527473</v>
      </c>
      <c r="X19" s="251">
        <f t="shared" si="7"/>
        <v>6554.799129527473</v>
      </c>
      <c r="Y19" s="251">
        <f t="shared" si="7"/>
        <v>6554.799129527473</v>
      </c>
      <c r="Z19" s="251">
        <f t="shared" si="7"/>
        <v>6554.799129527473</v>
      </c>
      <c r="AA19" s="251">
        <f t="shared" si="7"/>
        <v>6554.799129527473</v>
      </c>
    </row>
    <row r="20" spans="3:27" ht="15">
      <c r="C20" s="241" t="s">
        <v>261</v>
      </c>
      <c r="D20" s="152" t="s">
        <v>152</v>
      </c>
      <c r="F20" s="246">
        <f>L8</f>
        <v>18895.710341726994</v>
      </c>
      <c r="G20" s="248"/>
      <c r="H20" s="248"/>
      <c r="I20" s="248"/>
      <c r="J20" s="248"/>
      <c r="K20" s="248"/>
      <c r="L20" s="248">
        <f aca="true" t="shared" si="8" ref="L20:AA20">$F20*L$11</f>
        <v>6854.187878246856</v>
      </c>
      <c r="M20" s="248">
        <f t="shared" si="8"/>
        <v>6854.187878246856</v>
      </c>
      <c r="N20" s="248">
        <f t="shared" si="8"/>
        <v>6854.187878246856</v>
      </c>
      <c r="O20" s="250">
        <f t="shared" si="8"/>
        <v>6854.187878246856</v>
      </c>
      <c r="P20" s="251">
        <f t="shared" si="8"/>
        <v>6854.187878246856</v>
      </c>
      <c r="Q20" s="251">
        <f t="shared" si="8"/>
        <v>6854.187878246856</v>
      </c>
      <c r="R20" s="251">
        <f t="shared" si="8"/>
        <v>6854.187878246856</v>
      </c>
      <c r="S20" s="251">
        <f t="shared" si="8"/>
        <v>6854.187878246856</v>
      </c>
      <c r="T20" s="251">
        <f t="shared" si="8"/>
        <v>6854.187878246856</v>
      </c>
      <c r="U20" s="251">
        <f t="shared" si="8"/>
        <v>6854.187878246856</v>
      </c>
      <c r="V20" s="251">
        <f t="shared" si="8"/>
        <v>6854.187878246856</v>
      </c>
      <c r="W20" s="251">
        <f t="shared" si="8"/>
        <v>6854.187878246856</v>
      </c>
      <c r="X20" s="251">
        <f t="shared" si="8"/>
        <v>6854.187878246856</v>
      </c>
      <c r="Y20" s="251">
        <f t="shared" si="8"/>
        <v>6854.187878246856</v>
      </c>
      <c r="Z20" s="251">
        <f t="shared" si="8"/>
        <v>6854.187878246856</v>
      </c>
      <c r="AA20" s="251">
        <f t="shared" si="8"/>
        <v>6854.187878246856</v>
      </c>
    </row>
    <row r="21" spans="3:27" ht="15">
      <c r="C21" s="241" t="s">
        <v>262</v>
      </c>
      <c r="D21" s="152" t="s">
        <v>152</v>
      </c>
      <c r="F21" s="246">
        <f>M8</f>
        <v>19537.988129680587</v>
      </c>
      <c r="G21" s="248"/>
      <c r="H21" s="248"/>
      <c r="I21" s="248"/>
      <c r="J21" s="248"/>
      <c r="K21" s="248"/>
      <c r="L21" s="248"/>
      <c r="M21" s="248">
        <f aca="true" t="shared" si="9" ref="M21:AA21">$F21*M$11</f>
        <v>7087.16629234422</v>
      </c>
      <c r="N21" s="248">
        <f t="shared" si="9"/>
        <v>7087.16629234422</v>
      </c>
      <c r="O21" s="248">
        <f t="shared" si="9"/>
        <v>7087.16629234422</v>
      </c>
      <c r="P21" s="250">
        <f t="shared" si="9"/>
        <v>7087.16629234422</v>
      </c>
      <c r="Q21" s="251">
        <f t="shared" si="9"/>
        <v>7087.16629234422</v>
      </c>
      <c r="R21" s="251">
        <f t="shared" si="9"/>
        <v>7087.16629234422</v>
      </c>
      <c r="S21" s="251">
        <f t="shared" si="9"/>
        <v>7087.16629234422</v>
      </c>
      <c r="T21" s="251">
        <f t="shared" si="9"/>
        <v>7087.16629234422</v>
      </c>
      <c r="U21" s="251">
        <f t="shared" si="9"/>
        <v>7087.16629234422</v>
      </c>
      <c r="V21" s="251">
        <f t="shared" si="9"/>
        <v>7087.16629234422</v>
      </c>
      <c r="W21" s="251">
        <f t="shared" si="9"/>
        <v>7087.16629234422</v>
      </c>
      <c r="X21" s="251">
        <f t="shared" si="9"/>
        <v>7087.16629234422</v>
      </c>
      <c r="Y21" s="251">
        <f t="shared" si="9"/>
        <v>7087.16629234422</v>
      </c>
      <c r="Z21" s="251">
        <f t="shared" si="9"/>
        <v>7087.16629234422</v>
      </c>
      <c r="AA21" s="251">
        <f t="shared" si="9"/>
        <v>7087.16629234422</v>
      </c>
    </row>
    <row r="22" spans="3:27" ht="12.75" customHeight="1">
      <c r="C22" s="241" t="s">
        <v>263</v>
      </c>
      <c r="D22" s="152" t="s">
        <v>152</v>
      </c>
      <c r="F22" s="246">
        <f>N8</f>
        <v>20528.5644916556</v>
      </c>
      <c r="G22" s="248"/>
      <c r="H22" s="248"/>
      <c r="I22" s="248"/>
      <c r="J22" s="248"/>
      <c r="K22" s="248"/>
      <c r="L22" s="248"/>
      <c r="M22" s="248"/>
      <c r="N22" s="248">
        <f aca="true" t="shared" si="10" ref="N22:AA22">$F22*N$11</f>
        <v>7446.485755330149</v>
      </c>
      <c r="O22" s="248">
        <f t="shared" si="10"/>
        <v>7446.485755330149</v>
      </c>
      <c r="P22" s="248">
        <f t="shared" si="10"/>
        <v>7446.485755330149</v>
      </c>
      <c r="Q22" s="250">
        <f t="shared" si="10"/>
        <v>7446.485755330149</v>
      </c>
      <c r="R22" s="251">
        <f t="shared" si="10"/>
        <v>7446.485755330149</v>
      </c>
      <c r="S22" s="251">
        <f t="shared" si="10"/>
        <v>7446.485755330149</v>
      </c>
      <c r="T22" s="251">
        <f t="shared" si="10"/>
        <v>7446.485755330149</v>
      </c>
      <c r="U22" s="251">
        <f t="shared" si="10"/>
        <v>7446.485755330149</v>
      </c>
      <c r="V22" s="251">
        <f t="shared" si="10"/>
        <v>7446.485755330149</v>
      </c>
      <c r="W22" s="251">
        <f t="shared" si="10"/>
        <v>7446.485755330149</v>
      </c>
      <c r="X22" s="251">
        <f t="shared" si="10"/>
        <v>7446.485755330149</v>
      </c>
      <c r="Y22" s="251">
        <f t="shared" si="10"/>
        <v>7446.485755330149</v>
      </c>
      <c r="Z22" s="251">
        <f t="shared" si="10"/>
        <v>7446.485755330149</v>
      </c>
      <c r="AA22" s="251">
        <f t="shared" si="10"/>
        <v>7446.485755330149</v>
      </c>
    </row>
    <row r="23" spans="3:27" ht="15">
      <c r="C23" s="241" t="s">
        <v>264</v>
      </c>
      <c r="D23" s="152" t="s">
        <v>152</v>
      </c>
      <c r="F23" s="246">
        <f>O8</f>
        <v>21400.248775086275</v>
      </c>
      <c r="G23" s="248"/>
      <c r="H23" s="248"/>
      <c r="I23" s="248"/>
      <c r="J23" s="248"/>
      <c r="K23" s="248"/>
      <c r="L23" s="248"/>
      <c r="M23" s="248"/>
      <c r="N23" s="248"/>
      <c r="O23" s="248">
        <f aca="true" t="shared" si="11" ref="O23:AA32">$F23*O$11</f>
        <v>7762.678570582775</v>
      </c>
      <c r="P23" s="248">
        <f t="shared" si="11"/>
        <v>7762.678570582775</v>
      </c>
      <c r="Q23" s="248">
        <f t="shared" si="11"/>
        <v>7762.678570582775</v>
      </c>
      <c r="R23" s="250">
        <f t="shared" si="11"/>
        <v>7762.678570582775</v>
      </c>
      <c r="S23" s="251">
        <f t="shared" si="11"/>
        <v>7762.678570582775</v>
      </c>
      <c r="T23" s="251">
        <f t="shared" si="11"/>
        <v>7762.678570582775</v>
      </c>
      <c r="U23" s="251">
        <f t="shared" si="11"/>
        <v>7762.678570582775</v>
      </c>
      <c r="V23" s="251">
        <f t="shared" si="11"/>
        <v>7762.678570582775</v>
      </c>
      <c r="W23" s="251">
        <f t="shared" si="11"/>
        <v>7762.678570582775</v>
      </c>
      <c r="X23" s="251">
        <f t="shared" si="11"/>
        <v>7762.678570582775</v>
      </c>
      <c r="Y23" s="251">
        <f t="shared" si="11"/>
        <v>7762.678570582775</v>
      </c>
      <c r="Z23" s="251">
        <f t="shared" si="11"/>
        <v>7762.678570582775</v>
      </c>
      <c r="AA23" s="251">
        <f t="shared" si="11"/>
        <v>7762.678570582775</v>
      </c>
    </row>
    <row r="24" spans="4:27" ht="15">
      <c r="D24" s="152" t="s">
        <v>152</v>
      </c>
      <c r="F24" s="246">
        <f>P8</f>
        <v>19577</v>
      </c>
      <c r="G24" s="248"/>
      <c r="H24" s="248"/>
      <c r="I24" s="248"/>
      <c r="J24" s="248"/>
      <c r="K24" s="248"/>
      <c r="L24" s="248"/>
      <c r="M24" s="248"/>
      <c r="N24" s="248"/>
      <c r="O24" s="248"/>
      <c r="P24" s="248">
        <f t="shared" si="11"/>
        <v>7101.31737128305</v>
      </c>
      <c r="Q24" s="248">
        <f t="shared" si="11"/>
        <v>7101.31737128305</v>
      </c>
      <c r="R24" s="248">
        <f t="shared" si="11"/>
        <v>7101.31737128305</v>
      </c>
      <c r="S24" s="248">
        <f t="shared" si="11"/>
        <v>7101.31737128305</v>
      </c>
      <c r="T24" s="251">
        <f t="shared" si="11"/>
        <v>7101.31737128305</v>
      </c>
      <c r="U24" s="251">
        <f t="shared" si="11"/>
        <v>7101.31737128305</v>
      </c>
      <c r="V24" s="251">
        <f t="shared" si="11"/>
        <v>7101.31737128305</v>
      </c>
      <c r="W24" s="251">
        <f t="shared" si="11"/>
        <v>7101.31737128305</v>
      </c>
      <c r="X24" s="251">
        <f t="shared" si="11"/>
        <v>7101.31737128305</v>
      </c>
      <c r="Y24" s="251">
        <f t="shared" si="11"/>
        <v>7101.31737128305</v>
      </c>
      <c r="Z24" s="251">
        <f t="shared" si="11"/>
        <v>7101.31737128305</v>
      </c>
      <c r="AA24" s="251">
        <f t="shared" si="11"/>
        <v>7101.31737128305</v>
      </c>
    </row>
    <row r="25" spans="4:27" ht="15">
      <c r="D25" s="152" t="s">
        <v>152</v>
      </c>
      <c r="F25" s="246">
        <f>Q8</f>
        <v>18984</v>
      </c>
      <c r="G25" s="248"/>
      <c r="H25" s="248"/>
      <c r="I25" s="248"/>
      <c r="J25" s="248"/>
      <c r="K25" s="248"/>
      <c r="L25" s="248"/>
      <c r="M25" s="248"/>
      <c r="N25" s="248"/>
      <c r="O25" s="248"/>
      <c r="P25" s="248"/>
      <c r="Q25" s="248">
        <f t="shared" si="11"/>
        <v>6886.21387221931</v>
      </c>
      <c r="R25" s="248">
        <f t="shared" si="11"/>
        <v>6886.21387221931</v>
      </c>
      <c r="S25" s="248">
        <f t="shared" si="11"/>
        <v>6886.21387221931</v>
      </c>
      <c r="T25" s="248">
        <f t="shared" si="11"/>
        <v>6886.21387221931</v>
      </c>
      <c r="U25" s="251">
        <f t="shared" si="11"/>
        <v>6886.21387221931</v>
      </c>
      <c r="V25" s="251">
        <f t="shared" si="11"/>
        <v>6886.21387221931</v>
      </c>
      <c r="W25" s="251">
        <f t="shared" si="11"/>
        <v>6886.21387221931</v>
      </c>
      <c r="X25" s="251">
        <f t="shared" si="11"/>
        <v>6886.21387221931</v>
      </c>
      <c r="Y25" s="251">
        <f t="shared" si="11"/>
        <v>6886.21387221931</v>
      </c>
      <c r="Z25" s="251">
        <f t="shared" si="11"/>
        <v>6886.21387221931</v>
      </c>
      <c r="AA25" s="251">
        <f t="shared" si="11"/>
        <v>6886.21387221931</v>
      </c>
    </row>
    <row r="26" spans="4:27" ht="15">
      <c r="D26" s="152" t="s">
        <v>152</v>
      </c>
      <c r="F26" s="246">
        <f>R8</f>
        <v>18066</v>
      </c>
      <c r="G26" s="248"/>
      <c r="H26" s="248"/>
      <c r="I26" s="248"/>
      <c r="J26" s="248"/>
      <c r="K26" s="248"/>
      <c r="L26" s="248"/>
      <c r="M26" s="248"/>
      <c r="N26" s="248"/>
      <c r="O26" s="248"/>
      <c r="P26" s="248"/>
      <c r="Q26" s="248"/>
      <c r="R26" s="248">
        <f t="shared" si="11"/>
        <v>6553.2205971088315</v>
      </c>
      <c r="S26" s="248">
        <f t="shared" si="11"/>
        <v>6553.2205971088315</v>
      </c>
      <c r="T26" s="248">
        <f t="shared" si="11"/>
        <v>6553.2205971088315</v>
      </c>
      <c r="U26" s="248">
        <f t="shared" si="11"/>
        <v>6553.2205971088315</v>
      </c>
      <c r="V26" s="251">
        <f t="shared" si="11"/>
        <v>6553.2205971088315</v>
      </c>
      <c r="W26" s="251">
        <f t="shared" si="11"/>
        <v>6553.2205971088315</v>
      </c>
      <c r="X26" s="251">
        <f t="shared" si="11"/>
        <v>6553.2205971088315</v>
      </c>
      <c r="Y26" s="251">
        <f t="shared" si="11"/>
        <v>6553.2205971088315</v>
      </c>
      <c r="Z26" s="251">
        <f t="shared" si="11"/>
        <v>6553.2205971088315</v>
      </c>
      <c r="AA26" s="251">
        <f t="shared" si="11"/>
        <v>6553.2205971088315</v>
      </c>
    </row>
    <row r="27" spans="4:27" ht="15">
      <c r="D27" s="152" t="s">
        <v>152</v>
      </c>
      <c r="F27" s="246">
        <f>S8</f>
        <v>19095</v>
      </c>
      <c r="G27" s="248"/>
      <c r="H27" s="248"/>
      <c r="I27" s="248"/>
      <c r="J27" s="248"/>
      <c r="K27" s="248"/>
      <c r="L27" s="248"/>
      <c r="M27" s="248"/>
      <c r="N27" s="248"/>
      <c r="O27" s="248"/>
      <c r="P27" s="248"/>
      <c r="Q27" s="248"/>
      <c r="R27" s="250"/>
      <c r="S27" s="248">
        <f t="shared" si="11"/>
        <v>6926.477764961427</v>
      </c>
      <c r="T27" s="248">
        <f t="shared" si="11"/>
        <v>6926.477764961427</v>
      </c>
      <c r="U27" s="248">
        <f t="shared" si="11"/>
        <v>6926.477764961427</v>
      </c>
      <c r="V27" s="248">
        <f t="shared" si="11"/>
        <v>6926.477764961427</v>
      </c>
      <c r="W27" s="251">
        <f t="shared" si="11"/>
        <v>6926.477764961427</v>
      </c>
      <c r="X27" s="251">
        <f t="shared" si="11"/>
        <v>6926.477764961427</v>
      </c>
      <c r="Y27" s="251">
        <f t="shared" si="11"/>
        <v>6926.477764961427</v>
      </c>
      <c r="Z27" s="251">
        <f t="shared" si="11"/>
        <v>6926.477764961427</v>
      </c>
      <c r="AA27" s="251">
        <f t="shared" si="11"/>
        <v>6926.477764961427</v>
      </c>
    </row>
    <row r="28" spans="4:27" ht="15">
      <c r="D28" s="152" t="s">
        <v>152</v>
      </c>
      <c r="F28" s="246">
        <f>T8</f>
        <v>19766</v>
      </c>
      <c r="G28" s="248"/>
      <c r="H28" s="248"/>
      <c r="I28" s="248"/>
      <c r="J28" s="248"/>
      <c r="K28" s="248"/>
      <c r="L28" s="248"/>
      <c r="M28" s="248"/>
      <c r="N28" s="248"/>
      <c r="O28" s="248"/>
      <c r="P28" s="248"/>
      <c r="Q28" s="248"/>
      <c r="R28" s="250"/>
      <c r="S28" s="250"/>
      <c r="T28" s="248">
        <f t="shared" si="11"/>
        <v>7169.874810276385</v>
      </c>
      <c r="U28" s="248">
        <f t="shared" si="11"/>
        <v>7169.874810276385</v>
      </c>
      <c r="V28" s="248">
        <f t="shared" si="11"/>
        <v>7169.874810276385</v>
      </c>
      <c r="W28" s="248">
        <f t="shared" si="11"/>
        <v>7169.874810276385</v>
      </c>
      <c r="X28" s="251">
        <f t="shared" si="11"/>
        <v>7169.874810276385</v>
      </c>
      <c r="Y28" s="251">
        <f t="shared" si="11"/>
        <v>7169.874810276385</v>
      </c>
      <c r="Z28" s="251">
        <f t="shared" si="11"/>
        <v>7169.874810276385</v>
      </c>
      <c r="AA28" s="251">
        <f t="shared" si="11"/>
        <v>7169.874810276385</v>
      </c>
    </row>
    <row r="29" spans="4:27" ht="15">
      <c r="D29" s="152" t="s">
        <v>152</v>
      </c>
      <c r="F29" s="246">
        <f>U8</f>
        <v>20870</v>
      </c>
      <c r="G29" s="248"/>
      <c r="H29" s="248"/>
      <c r="I29" s="248"/>
      <c r="J29" s="248"/>
      <c r="K29" s="248"/>
      <c r="L29" s="248"/>
      <c r="M29" s="248"/>
      <c r="N29" s="248"/>
      <c r="O29" s="248"/>
      <c r="P29" s="248"/>
      <c r="Q29" s="248"/>
      <c r="R29" s="250"/>
      <c r="S29" s="250"/>
      <c r="U29" s="248">
        <f t="shared" si="11"/>
        <v>7570.337311062843</v>
      </c>
      <c r="V29" s="248">
        <f t="shared" si="11"/>
        <v>7570.337311062843</v>
      </c>
      <c r="W29" s="248">
        <f t="shared" si="11"/>
        <v>7570.337311062843</v>
      </c>
      <c r="X29" s="248">
        <f t="shared" si="11"/>
        <v>7570.337311062843</v>
      </c>
      <c r="Y29" s="251">
        <f t="shared" si="11"/>
        <v>7570.337311062843</v>
      </c>
      <c r="Z29" s="251">
        <f t="shared" si="11"/>
        <v>7570.337311062843</v>
      </c>
      <c r="AA29" s="251">
        <f t="shared" si="11"/>
        <v>7570.337311062843</v>
      </c>
    </row>
    <row r="30" spans="4:27" ht="15">
      <c r="D30" s="152" t="s">
        <v>152</v>
      </c>
      <c r="F30" s="246">
        <f>V8</f>
        <v>20992</v>
      </c>
      <c r="G30" s="248"/>
      <c r="H30" s="248"/>
      <c r="I30" s="248"/>
      <c r="J30" s="248"/>
      <c r="K30" s="248"/>
      <c r="L30" s="248"/>
      <c r="M30" s="248"/>
      <c r="N30" s="248"/>
      <c r="O30" s="248"/>
      <c r="P30" s="248"/>
      <c r="Q30" s="248"/>
      <c r="R30" s="250"/>
      <c r="S30" s="250"/>
      <c r="U30" s="248"/>
      <c r="V30" s="248">
        <f t="shared" si="11"/>
        <v>7614.591319301926</v>
      </c>
      <c r="W30" s="248">
        <f t="shared" si="11"/>
        <v>7614.591319301926</v>
      </c>
      <c r="X30" s="248">
        <f t="shared" si="11"/>
        <v>7614.591319301926</v>
      </c>
      <c r="Y30" s="251">
        <f t="shared" si="11"/>
        <v>7614.591319301926</v>
      </c>
      <c r="Z30" s="251">
        <f t="shared" si="11"/>
        <v>7614.591319301926</v>
      </c>
      <c r="AA30" s="251">
        <f t="shared" si="11"/>
        <v>7614.591319301926</v>
      </c>
    </row>
    <row r="31" spans="4:27" ht="15">
      <c r="D31" s="152" t="s">
        <v>152</v>
      </c>
      <c r="F31" s="246">
        <f>W8</f>
        <v>19758</v>
      </c>
      <c r="G31" s="248"/>
      <c r="H31" s="248"/>
      <c r="I31" s="248"/>
      <c r="J31" s="248"/>
      <c r="K31" s="248"/>
      <c r="L31" s="248"/>
      <c r="M31" s="248"/>
      <c r="N31" s="248"/>
      <c r="O31" s="248"/>
      <c r="P31" s="248"/>
      <c r="Q31" s="248"/>
      <c r="R31" s="250"/>
      <c r="S31" s="250"/>
      <c r="U31" s="248"/>
      <c r="V31" s="248"/>
      <c r="W31" s="248">
        <f t="shared" si="11"/>
        <v>7166.972908096773</v>
      </c>
      <c r="X31" s="248">
        <f t="shared" si="11"/>
        <v>7166.972908096773</v>
      </c>
      <c r="Y31" s="248">
        <f t="shared" si="11"/>
        <v>7166.972908096773</v>
      </c>
      <c r="Z31" s="248">
        <f t="shared" si="11"/>
        <v>7166.972908096773</v>
      </c>
      <c r="AA31" s="251">
        <f t="shared" si="11"/>
        <v>7166.972908096773</v>
      </c>
    </row>
    <row r="32" spans="4:27" ht="15">
      <c r="D32" s="152" t="s">
        <v>152</v>
      </c>
      <c r="F32" s="246">
        <f>X8</f>
        <v>20096</v>
      </c>
      <c r="G32" s="248"/>
      <c r="H32" s="248"/>
      <c r="I32" s="248"/>
      <c r="J32" s="248"/>
      <c r="K32" s="248"/>
      <c r="L32" s="248"/>
      <c r="M32" s="248"/>
      <c r="N32" s="248"/>
      <c r="O32" s="248"/>
      <c r="P32" s="248"/>
      <c r="Q32" s="248"/>
      <c r="R32" s="250"/>
      <c r="S32" s="250"/>
      <c r="U32" s="248"/>
      <c r="V32" s="248"/>
      <c r="W32" s="248"/>
      <c r="X32" s="248">
        <f t="shared" si="11"/>
        <v>7289.57827518538</v>
      </c>
      <c r="Y32" s="248">
        <f t="shared" si="11"/>
        <v>7289.57827518538</v>
      </c>
      <c r="Z32" s="248">
        <f t="shared" si="11"/>
        <v>7289.57827518538</v>
      </c>
      <c r="AA32" s="248">
        <f t="shared" si="11"/>
        <v>7289.57827518538</v>
      </c>
    </row>
    <row r="33" spans="6:23" ht="15">
      <c r="F33" s="248"/>
      <c r="S33" s="250"/>
      <c r="U33" s="248"/>
      <c r="V33" s="248"/>
      <c r="W33" s="248"/>
    </row>
    <row r="34" spans="1:29" ht="15">
      <c r="A34" s="175"/>
      <c r="B34" s="175"/>
      <c r="C34" s="240" t="s">
        <v>284</v>
      </c>
      <c r="D34" s="175"/>
      <c r="E34" s="234"/>
      <c r="F34" s="253"/>
      <c r="G34" s="253">
        <f>SUM(G15:G23)</f>
        <v>0</v>
      </c>
      <c r="H34" s="253">
        <f>SUM(H15:H23)</f>
        <v>6555.574225738099</v>
      </c>
      <c r="I34" s="253">
        <f>SUM(I15:I23)</f>
        <v>13225.895882330504</v>
      </c>
      <c r="J34" s="253">
        <f>SUM(J15:J23)</f>
        <v>19926.93314210725</v>
      </c>
      <c r="K34" s="253">
        <f>SUM(K16:K23)</f>
        <v>26481.732271634723</v>
      </c>
      <c r="L34" s="253">
        <f>SUM(L17:L23)</f>
        <v>26780.34592414348</v>
      </c>
      <c r="M34" s="253">
        <f>SUM(M18:M23)</f>
        <v>27197.190559895294</v>
      </c>
      <c r="N34" s="253">
        <f>SUM(N19:N23)</f>
        <v>27942.639055448697</v>
      </c>
      <c r="O34" s="253">
        <f>SUM(O20:O23)</f>
        <v>29150.518496504</v>
      </c>
      <c r="P34" s="253">
        <f>SUM(P21:P24)</f>
        <v>29397.647989540194</v>
      </c>
      <c r="Q34" s="253">
        <f>SUM(Q22:Q25)</f>
        <v>29196.695569415286</v>
      </c>
      <c r="R34" s="253">
        <f>SUM(R23:R26)</f>
        <v>28303.43041119397</v>
      </c>
      <c r="S34" s="253">
        <f>SUM(S24:S27)</f>
        <v>27467.22960557262</v>
      </c>
      <c r="T34" s="253">
        <f>SUM(T25:T28)</f>
        <v>27535.787044565954</v>
      </c>
      <c r="U34" s="253">
        <f>SUM(U26:U29)</f>
        <v>28219.910483409487</v>
      </c>
      <c r="V34" s="253">
        <f>SUM(V27:V30)</f>
        <v>29281.28120560258</v>
      </c>
      <c r="W34" s="253">
        <f>SUM(W28:W30)</f>
        <v>22354.803440641153</v>
      </c>
      <c r="X34" s="253">
        <f>SUM(X29:X32)</f>
        <v>29641.47981364692</v>
      </c>
      <c r="Y34" s="253">
        <f>SUM(Y30:Y32)</f>
        <v>22071.14250258408</v>
      </c>
      <c r="Z34" s="253">
        <f>SUM(Z31:Z32)</f>
        <v>14456.551183282154</v>
      </c>
      <c r="AA34" s="253">
        <f>SUM(AA32)</f>
        <v>7289.57827518538</v>
      </c>
      <c r="AB34" s="252"/>
      <c r="AC34" s="175"/>
    </row>
    <row r="35" spans="3:24" ht="15">
      <c r="C35" s="240" t="s">
        <v>283</v>
      </c>
      <c r="F35" s="248"/>
      <c r="G35" s="253">
        <f>G15</f>
        <v>0</v>
      </c>
      <c r="H35" s="253">
        <f>H16</f>
        <v>6555.574225738099</v>
      </c>
      <c r="I35" s="253">
        <f>I17</f>
        <v>6670.321656592405</v>
      </c>
      <c r="J35" s="253">
        <f>J18</f>
        <v>6701.037259776746</v>
      </c>
      <c r="K35" s="253">
        <f>K19</f>
        <v>6554.799129527473</v>
      </c>
      <c r="L35" s="253">
        <f>L20</f>
        <v>6854.187878246856</v>
      </c>
      <c r="M35" s="253">
        <f>M21</f>
        <v>7087.16629234422</v>
      </c>
      <c r="N35" s="253">
        <f>N22</f>
        <v>7446.485755330149</v>
      </c>
      <c r="O35" s="253">
        <f>O23</f>
        <v>7762.678570582775</v>
      </c>
      <c r="P35" s="253">
        <f>P24</f>
        <v>7101.31737128305</v>
      </c>
      <c r="Q35" s="253">
        <f>Q25</f>
        <v>6886.21387221931</v>
      </c>
      <c r="R35" s="253">
        <f>R26</f>
        <v>6553.2205971088315</v>
      </c>
      <c r="S35" s="253">
        <f>S27</f>
        <v>6926.477764961427</v>
      </c>
      <c r="T35" s="253">
        <f>T28</f>
        <v>7169.874810276385</v>
      </c>
      <c r="U35" s="253">
        <f>U29</f>
        <v>7570.337311062843</v>
      </c>
      <c r="V35" s="253">
        <f>V30</f>
        <v>7614.591319301926</v>
      </c>
      <c r="W35" s="253">
        <f>W31</f>
        <v>7166.972908096773</v>
      </c>
      <c r="X35" s="253">
        <f>X32</f>
        <v>7289.57827518538</v>
      </c>
    </row>
    <row r="36" ht="15">
      <c r="F36" s="248"/>
    </row>
    <row r="37" spans="1:29" ht="15">
      <c r="A37" s="206"/>
      <c r="B37" s="206"/>
      <c r="C37" s="239" t="s">
        <v>265</v>
      </c>
      <c r="D37" s="206"/>
      <c r="E37" s="229"/>
      <c r="F37" s="245" t="s">
        <v>21</v>
      </c>
      <c r="G37" s="245"/>
      <c r="H37" s="245"/>
      <c r="I37" s="245"/>
      <c r="J37" s="245"/>
      <c r="K37" s="245"/>
      <c r="L37" s="245"/>
      <c r="M37" s="245"/>
      <c r="N37" s="245"/>
      <c r="O37" s="245"/>
      <c r="P37" s="245"/>
      <c r="Q37" s="245"/>
      <c r="R37" s="245"/>
      <c r="S37" s="245"/>
      <c r="T37" s="245"/>
      <c r="U37" s="245"/>
      <c r="V37" s="245"/>
      <c r="W37" s="245"/>
      <c r="X37" s="245"/>
      <c r="Y37" s="245"/>
      <c r="Z37" s="245"/>
      <c r="AA37" s="245"/>
      <c r="AB37" s="245"/>
      <c r="AC37" s="206"/>
    </row>
    <row r="38" spans="3:27" ht="15">
      <c r="C38" s="241" t="s">
        <v>256</v>
      </c>
      <c r="D38" s="152" t="s">
        <v>152</v>
      </c>
      <c r="E38" s="232"/>
      <c r="F38" s="246">
        <f>G8</f>
        <v>0</v>
      </c>
      <c r="H38" s="251">
        <f aca="true" t="shared" si="12" ref="H38:AA38">$F38*H$12</f>
        <v>0</v>
      </c>
      <c r="I38" s="251">
        <f t="shared" si="12"/>
        <v>0</v>
      </c>
      <c r="J38" s="251">
        <f t="shared" si="12"/>
        <v>0</v>
      </c>
      <c r="K38" s="251">
        <f t="shared" si="12"/>
        <v>0</v>
      </c>
      <c r="L38" s="251">
        <f t="shared" si="12"/>
        <v>0</v>
      </c>
      <c r="M38" s="251">
        <f t="shared" si="12"/>
        <v>0</v>
      </c>
      <c r="N38" s="251">
        <f t="shared" si="12"/>
        <v>0</v>
      </c>
      <c r="O38" s="251">
        <f t="shared" si="12"/>
        <v>0</v>
      </c>
      <c r="P38" s="251">
        <f t="shared" si="12"/>
        <v>0</v>
      </c>
      <c r="Q38" s="251">
        <f t="shared" si="12"/>
        <v>0</v>
      </c>
      <c r="R38" s="251">
        <f t="shared" si="12"/>
        <v>0</v>
      </c>
      <c r="S38" s="251">
        <f t="shared" si="12"/>
        <v>0</v>
      </c>
      <c r="T38" s="251">
        <f t="shared" si="12"/>
        <v>0</v>
      </c>
      <c r="U38" s="251">
        <f t="shared" si="12"/>
        <v>0</v>
      </c>
      <c r="V38" s="251">
        <f t="shared" si="12"/>
        <v>0</v>
      </c>
      <c r="W38" s="251">
        <f t="shared" si="12"/>
        <v>0</v>
      </c>
      <c r="X38" s="251">
        <f t="shared" si="12"/>
        <v>0</v>
      </c>
      <c r="Y38" s="251">
        <f t="shared" si="12"/>
        <v>0</v>
      </c>
      <c r="Z38" s="251">
        <f t="shared" si="12"/>
        <v>0</v>
      </c>
      <c r="AA38" s="251">
        <f t="shared" si="12"/>
        <v>0</v>
      </c>
    </row>
    <row r="39" spans="3:27" ht="15">
      <c r="C39" s="241" t="s">
        <v>257</v>
      </c>
      <c r="D39" s="152" t="s">
        <v>152</v>
      </c>
      <c r="E39" s="232"/>
      <c r="F39" s="246">
        <f>H8</f>
        <v>18072.488512661257</v>
      </c>
      <c r="G39" s="248"/>
      <c r="H39" s="251">
        <f>$F39*H$12</f>
        <v>1536.161523576207</v>
      </c>
      <c r="I39" s="251">
        <f aca="true" t="shared" si="13" ref="I39:AA39">$F39*I$12</f>
        <v>1536.161523576207</v>
      </c>
      <c r="J39" s="251">
        <f t="shared" si="13"/>
        <v>1536.161523576207</v>
      </c>
      <c r="K39" s="251">
        <f t="shared" si="13"/>
        <v>1536.161523576207</v>
      </c>
      <c r="L39" s="251">
        <f t="shared" si="13"/>
        <v>1536.161523576207</v>
      </c>
      <c r="M39" s="251">
        <f t="shared" si="13"/>
        <v>1536.161523576207</v>
      </c>
      <c r="N39" s="251">
        <f t="shared" si="13"/>
        <v>1536.161523576207</v>
      </c>
      <c r="O39" s="251">
        <f t="shared" si="13"/>
        <v>1536.161523576207</v>
      </c>
      <c r="P39" s="251">
        <f t="shared" si="13"/>
        <v>1536.161523576207</v>
      </c>
      <c r="Q39" s="251">
        <f t="shared" si="13"/>
        <v>1536.161523576207</v>
      </c>
      <c r="R39" s="251">
        <f t="shared" si="13"/>
        <v>1536.161523576207</v>
      </c>
      <c r="S39" s="251">
        <f t="shared" si="13"/>
        <v>1536.161523576207</v>
      </c>
      <c r="T39" s="251">
        <f t="shared" si="13"/>
        <v>1536.161523576207</v>
      </c>
      <c r="U39" s="251">
        <f t="shared" si="13"/>
        <v>1536.161523576207</v>
      </c>
      <c r="V39" s="251">
        <f t="shared" si="13"/>
        <v>1536.161523576207</v>
      </c>
      <c r="W39" s="251">
        <f t="shared" si="13"/>
        <v>1536.161523576207</v>
      </c>
      <c r="X39" s="251">
        <f t="shared" si="13"/>
        <v>1536.161523576207</v>
      </c>
      <c r="Y39" s="251">
        <f t="shared" si="13"/>
        <v>1536.161523576207</v>
      </c>
      <c r="Z39" s="251">
        <f t="shared" si="13"/>
        <v>1536.161523576207</v>
      </c>
      <c r="AA39" s="251">
        <f t="shared" si="13"/>
        <v>1536.161523576207</v>
      </c>
    </row>
    <row r="40" spans="3:27" ht="15">
      <c r="C40" s="241" t="s">
        <v>258</v>
      </c>
      <c r="D40" s="152" t="s">
        <v>152</v>
      </c>
      <c r="E40" s="232"/>
      <c r="F40" s="246">
        <f>I8</f>
        <v>18388.825656374756</v>
      </c>
      <c r="G40" s="248"/>
      <c r="H40" s="248"/>
      <c r="I40" s="251">
        <f aca="true" t="shared" si="14" ref="I40:AA40">$F40*I$12</f>
        <v>1563.0501807918545</v>
      </c>
      <c r="J40" s="251">
        <f t="shared" si="14"/>
        <v>1563.0501807918545</v>
      </c>
      <c r="K40" s="251">
        <f t="shared" si="14"/>
        <v>1563.0501807918545</v>
      </c>
      <c r="L40" s="251">
        <f t="shared" si="14"/>
        <v>1563.0501807918545</v>
      </c>
      <c r="M40" s="251">
        <f t="shared" si="14"/>
        <v>1563.0501807918545</v>
      </c>
      <c r="N40" s="251">
        <f t="shared" si="14"/>
        <v>1563.0501807918545</v>
      </c>
      <c r="O40" s="251">
        <f t="shared" si="14"/>
        <v>1563.0501807918545</v>
      </c>
      <c r="P40" s="251">
        <f t="shared" si="14"/>
        <v>1563.0501807918545</v>
      </c>
      <c r="Q40" s="251">
        <f t="shared" si="14"/>
        <v>1563.0501807918545</v>
      </c>
      <c r="R40" s="251">
        <f t="shared" si="14"/>
        <v>1563.0501807918545</v>
      </c>
      <c r="S40" s="251">
        <f t="shared" si="14"/>
        <v>1563.0501807918545</v>
      </c>
      <c r="T40" s="251">
        <f t="shared" si="14"/>
        <v>1563.0501807918545</v>
      </c>
      <c r="U40" s="251">
        <f t="shared" si="14"/>
        <v>1563.0501807918545</v>
      </c>
      <c r="V40" s="251">
        <f t="shared" si="14"/>
        <v>1563.0501807918545</v>
      </c>
      <c r="W40" s="251">
        <f t="shared" si="14"/>
        <v>1563.0501807918545</v>
      </c>
      <c r="X40" s="251">
        <f t="shared" si="14"/>
        <v>1563.0501807918545</v>
      </c>
      <c r="Y40" s="251">
        <f t="shared" si="14"/>
        <v>1563.0501807918545</v>
      </c>
      <c r="Z40" s="251">
        <f t="shared" si="14"/>
        <v>1563.0501807918545</v>
      </c>
      <c r="AA40" s="251">
        <f t="shared" si="14"/>
        <v>1563.0501807918545</v>
      </c>
    </row>
    <row r="41" spans="3:27" ht="15">
      <c r="C41" s="241" t="s">
        <v>259</v>
      </c>
      <c r="D41" s="152" t="s">
        <v>152</v>
      </c>
      <c r="E41" s="232"/>
      <c r="F41" s="246">
        <f>J8</f>
        <v>18473.502813034665</v>
      </c>
      <c r="G41" s="248"/>
      <c r="H41" s="248"/>
      <c r="I41" s="248"/>
      <c r="J41" s="251">
        <f aca="true" t="shared" si="15" ref="J41:AA41">$F41*J$12</f>
        <v>1570.2477391079467</v>
      </c>
      <c r="K41" s="251">
        <f t="shared" si="15"/>
        <v>1570.2477391079467</v>
      </c>
      <c r="L41" s="251">
        <f t="shared" si="15"/>
        <v>1570.2477391079467</v>
      </c>
      <c r="M41" s="251">
        <f t="shared" si="15"/>
        <v>1570.2477391079467</v>
      </c>
      <c r="N41" s="251">
        <f t="shared" si="15"/>
        <v>1570.2477391079467</v>
      </c>
      <c r="O41" s="251">
        <f t="shared" si="15"/>
        <v>1570.2477391079467</v>
      </c>
      <c r="P41" s="251">
        <f t="shared" si="15"/>
        <v>1570.2477391079467</v>
      </c>
      <c r="Q41" s="251">
        <f t="shared" si="15"/>
        <v>1570.2477391079467</v>
      </c>
      <c r="R41" s="251">
        <f t="shared" si="15"/>
        <v>1570.2477391079467</v>
      </c>
      <c r="S41" s="251">
        <f t="shared" si="15"/>
        <v>1570.2477391079467</v>
      </c>
      <c r="T41" s="251">
        <f t="shared" si="15"/>
        <v>1570.2477391079467</v>
      </c>
      <c r="U41" s="251">
        <f t="shared" si="15"/>
        <v>1570.2477391079467</v>
      </c>
      <c r="V41" s="251">
        <f t="shared" si="15"/>
        <v>1570.2477391079467</v>
      </c>
      <c r="W41" s="251">
        <f t="shared" si="15"/>
        <v>1570.2477391079467</v>
      </c>
      <c r="X41" s="251">
        <f t="shared" si="15"/>
        <v>1570.2477391079467</v>
      </c>
      <c r="Y41" s="251">
        <f t="shared" si="15"/>
        <v>1570.2477391079467</v>
      </c>
      <c r="Z41" s="251">
        <f t="shared" si="15"/>
        <v>1570.2477391079467</v>
      </c>
      <c r="AA41" s="251">
        <f t="shared" si="15"/>
        <v>1570.2477391079467</v>
      </c>
    </row>
    <row r="42" spans="3:27" ht="15">
      <c r="C42" s="241" t="s">
        <v>260</v>
      </c>
      <c r="D42" s="152" t="s">
        <v>152</v>
      </c>
      <c r="E42" s="232"/>
      <c r="F42" s="246">
        <f>K8</f>
        <v>18070.351717793197</v>
      </c>
      <c r="G42" s="248"/>
      <c r="H42" s="248"/>
      <c r="I42" s="248"/>
      <c r="J42" s="248"/>
      <c r="K42" s="251">
        <f aca="true" t="shared" si="16" ref="K42:AA42">$F42*K$12</f>
        <v>1535.979896012422</v>
      </c>
      <c r="L42" s="251">
        <f t="shared" si="16"/>
        <v>1535.979896012422</v>
      </c>
      <c r="M42" s="251">
        <f t="shared" si="16"/>
        <v>1535.979896012422</v>
      </c>
      <c r="N42" s="251">
        <f t="shared" si="16"/>
        <v>1535.979896012422</v>
      </c>
      <c r="O42" s="251">
        <f t="shared" si="16"/>
        <v>1535.979896012422</v>
      </c>
      <c r="P42" s="251">
        <f t="shared" si="16"/>
        <v>1535.979896012422</v>
      </c>
      <c r="Q42" s="251">
        <f t="shared" si="16"/>
        <v>1535.979896012422</v>
      </c>
      <c r="R42" s="251">
        <f t="shared" si="16"/>
        <v>1535.979896012422</v>
      </c>
      <c r="S42" s="251">
        <f t="shared" si="16"/>
        <v>1535.979896012422</v>
      </c>
      <c r="T42" s="251">
        <f t="shared" si="16"/>
        <v>1535.979896012422</v>
      </c>
      <c r="U42" s="251">
        <f t="shared" si="16"/>
        <v>1535.979896012422</v>
      </c>
      <c r="V42" s="251">
        <f t="shared" si="16"/>
        <v>1535.979896012422</v>
      </c>
      <c r="W42" s="251">
        <f t="shared" si="16"/>
        <v>1535.979896012422</v>
      </c>
      <c r="X42" s="251">
        <f t="shared" si="16"/>
        <v>1535.979896012422</v>
      </c>
      <c r="Y42" s="251">
        <f t="shared" si="16"/>
        <v>1535.979896012422</v>
      </c>
      <c r="Z42" s="251">
        <f t="shared" si="16"/>
        <v>1535.979896012422</v>
      </c>
      <c r="AA42" s="251">
        <f t="shared" si="16"/>
        <v>1535.979896012422</v>
      </c>
    </row>
    <row r="43" spans="3:27" ht="15">
      <c r="C43" s="241" t="s">
        <v>261</v>
      </c>
      <c r="D43" s="152" t="s">
        <v>152</v>
      </c>
      <c r="E43" s="232"/>
      <c r="F43" s="246">
        <f>L8</f>
        <v>18895.710341726994</v>
      </c>
      <c r="G43" s="248"/>
      <c r="H43" s="248"/>
      <c r="I43" s="248"/>
      <c r="J43" s="248"/>
      <c r="K43" s="248"/>
      <c r="L43" s="251">
        <f aca="true" t="shared" si="17" ref="L43:AA43">$F43*L$12</f>
        <v>1606.1353790467945</v>
      </c>
      <c r="M43" s="251">
        <f t="shared" si="17"/>
        <v>1606.1353790467945</v>
      </c>
      <c r="N43" s="251">
        <f t="shared" si="17"/>
        <v>1606.1353790467945</v>
      </c>
      <c r="O43" s="251">
        <f t="shared" si="17"/>
        <v>1606.1353790467945</v>
      </c>
      <c r="P43" s="251">
        <f t="shared" si="17"/>
        <v>1606.1353790467945</v>
      </c>
      <c r="Q43" s="251">
        <f t="shared" si="17"/>
        <v>1606.1353790467945</v>
      </c>
      <c r="R43" s="251">
        <f t="shared" si="17"/>
        <v>1606.1353790467945</v>
      </c>
      <c r="S43" s="251">
        <f t="shared" si="17"/>
        <v>1606.1353790467945</v>
      </c>
      <c r="T43" s="251">
        <f t="shared" si="17"/>
        <v>1606.1353790467945</v>
      </c>
      <c r="U43" s="251">
        <f t="shared" si="17"/>
        <v>1606.1353790467945</v>
      </c>
      <c r="V43" s="251">
        <f t="shared" si="17"/>
        <v>1606.1353790467945</v>
      </c>
      <c r="W43" s="251">
        <f t="shared" si="17"/>
        <v>1606.1353790467945</v>
      </c>
      <c r="X43" s="251">
        <f t="shared" si="17"/>
        <v>1606.1353790467945</v>
      </c>
      <c r="Y43" s="251">
        <f t="shared" si="17"/>
        <v>1606.1353790467945</v>
      </c>
      <c r="Z43" s="251">
        <f t="shared" si="17"/>
        <v>1606.1353790467945</v>
      </c>
      <c r="AA43" s="251">
        <f t="shared" si="17"/>
        <v>1606.1353790467945</v>
      </c>
    </row>
    <row r="44" spans="3:27" ht="15">
      <c r="C44" s="241" t="s">
        <v>262</v>
      </c>
      <c r="D44" s="152" t="s">
        <v>152</v>
      </c>
      <c r="E44" s="232"/>
      <c r="F44" s="246">
        <f>M8</f>
        <v>19537.988129680587</v>
      </c>
      <c r="G44" s="248"/>
      <c r="H44" s="248"/>
      <c r="I44" s="248"/>
      <c r="J44" s="248"/>
      <c r="K44" s="248"/>
      <c r="L44" s="248"/>
      <c r="M44" s="251">
        <f aca="true" t="shared" si="18" ref="M44:AA44">$F44*M$12</f>
        <v>1660.72899102285</v>
      </c>
      <c r="N44" s="251">
        <f t="shared" si="18"/>
        <v>1660.72899102285</v>
      </c>
      <c r="O44" s="251">
        <f t="shared" si="18"/>
        <v>1660.72899102285</v>
      </c>
      <c r="P44" s="251">
        <f t="shared" si="18"/>
        <v>1660.72899102285</v>
      </c>
      <c r="Q44" s="251">
        <f t="shared" si="18"/>
        <v>1660.72899102285</v>
      </c>
      <c r="R44" s="251">
        <f t="shared" si="18"/>
        <v>1660.72899102285</v>
      </c>
      <c r="S44" s="251">
        <f t="shared" si="18"/>
        <v>1660.72899102285</v>
      </c>
      <c r="T44" s="251">
        <f t="shared" si="18"/>
        <v>1660.72899102285</v>
      </c>
      <c r="U44" s="251">
        <f t="shared" si="18"/>
        <v>1660.72899102285</v>
      </c>
      <c r="V44" s="251">
        <f t="shared" si="18"/>
        <v>1660.72899102285</v>
      </c>
      <c r="W44" s="251">
        <f t="shared" si="18"/>
        <v>1660.72899102285</v>
      </c>
      <c r="X44" s="251">
        <f t="shared" si="18"/>
        <v>1660.72899102285</v>
      </c>
      <c r="Y44" s="251">
        <f t="shared" si="18"/>
        <v>1660.72899102285</v>
      </c>
      <c r="Z44" s="251">
        <f t="shared" si="18"/>
        <v>1660.72899102285</v>
      </c>
      <c r="AA44" s="251">
        <f t="shared" si="18"/>
        <v>1660.72899102285</v>
      </c>
    </row>
    <row r="45" spans="3:27" ht="15">
      <c r="C45" s="241" t="s">
        <v>263</v>
      </c>
      <c r="D45" s="152" t="s">
        <v>152</v>
      </c>
      <c r="E45" s="232"/>
      <c r="F45" s="246">
        <f>N8</f>
        <v>20528.5644916556</v>
      </c>
      <c r="G45" s="248"/>
      <c r="H45" s="248"/>
      <c r="I45" s="248"/>
      <c r="J45" s="248"/>
      <c r="K45" s="248"/>
      <c r="L45" s="248"/>
      <c r="M45" s="248"/>
      <c r="N45" s="251">
        <f aca="true" t="shared" si="19" ref="N45:AA45">$F45*N$12</f>
        <v>1744.9279817907263</v>
      </c>
      <c r="O45" s="251">
        <f t="shared" si="19"/>
        <v>1744.9279817907263</v>
      </c>
      <c r="P45" s="251">
        <f t="shared" si="19"/>
        <v>1744.9279817907263</v>
      </c>
      <c r="Q45" s="251">
        <f t="shared" si="19"/>
        <v>1744.9279817907263</v>
      </c>
      <c r="R45" s="251">
        <f t="shared" si="19"/>
        <v>1744.9279817907263</v>
      </c>
      <c r="S45" s="251">
        <f t="shared" si="19"/>
        <v>1744.9279817907263</v>
      </c>
      <c r="T45" s="251">
        <f t="shared" si="19"/>
        <v>1744.9279817907263</v>
      </c>
      <c r="U45" s="251">
        <f t="shared" si="19"/>
        <v>1744.9279817907263</v>
      </c>
      <c r="V45" s="251">
        <f t="shared" si="19"/>
        <v>1744.9279817907263</v>
      </c>
      <c r="W45" s="251">
        <f t="shared" si="19"/>
        <v>1744.9279817907263</v>
      </c>
      <c r="X45" s="251">
        <f t="shared" si="19"/>
        <v>1744.9279817907263</v>
      </c>
      <c r="Y45" s="251">
        <f t="shared" si="19"/>
        <v>1744.9279817907263</v>
      </c>
      <c r="Z45" s="251">
        <f t="shared" si="19"/>
        <v>1744.9279817907263</v>
      </c>
      <c r="AA45" s="251">
        <f t="shared" si="19"/>
        <v>1744.9279817907263</v>
      </c>
    </row>
    <row r="46" spans="3:27" ht="15">
      <c r="C46" s="241" t="s">
        <v>264</v>
      </c>
      <c r="D46" s="152" t="s">
        <v>152</v>
      </c>
      <c r="E46" s="232"/>
      <c r="F46" s="246">
        <f>O8</f>
        <v>21400.248775086275</v>
      </c>
      <c r="G46" s="248"/>
      <c r="H46" s="248"/>
      <c r="I46" s="248"/>
      <c r="J46" s="248"/>
      <c r="K46" s="248"/>
      <c r="L46" s="248"/>
      <c r="M46" s="248"/>
      <c r="N46" s="248"/>
      <c r="O46" s="251">
        <f aca="true" t="shared" si="20" ref="O46:AA46">$F46*O$12</f>
        <v>1819.0211458823335</v>
      </c>
      <c r="P46" s="251">
        <f t="shared" si="20"/>
        <v>1819.0211458823335</v>
      </c>
      <c r="Q46" s="251">
        <f t="shared" si="20"/>
        <v>1819.0211458823335</v>
      </c>
      <c r="R46" s="251">
        <f t="shared" si="20"/>
        <v>1819.0211458823335</v>
      </c>
      <c r="S46" s="251">
        <f t="shared" si="20"/>
        <v>1819.0211458823335</v>
      </c>
      <c r="T46" s="251">
        <f t="shared" si="20"/>
        <v>1819.0211458823335</v>
      </c>
      <c r="U46" s="251">
        <f t="shared" si="20"/>
        <v>1819.0211458823335</v>
      </c>
      <c r="V46" s="251">
        <f t="shared" si="20"/>
        <v>1819.0211458823335</v>
      </c>
      <c r="W46" s="251">
        <f t="shared" si="20"/>
        <v>1819.0211458823335</v>
      </c>
      <c r="X46" s="251">
        <f t="shared" si="20"/>
        <v>1819.0211458823335</v>
      </c>
      <c r="Y46" s="251">
        <f t="shared" si="20"/>
        <v>1819.0211458823335</v>
      </c>
      <c r="Z46" s="251">
        <f t="shared" si="20"/>
        <v>1819.0211458823335</v>
      </c>
      <c r="AA46" s="251">
        <f t="shared" si="20"/>
        <v>1819.0211458823335</v>
      </c>
    </row>
    <row r="48" spans="1:29" ht="15">
      <c r="A48" s="163" t="s">
        <v>151</v>
      </c>
      <c r="B48" s="163" t="s">
        <v>285</v>
      </c>
      <c r="C48" s="238"/>
      <c r="D48" s="163"/>
      <c r="E48" s="228"/>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163"/>
    </row>
    <row r="49" ht="15">
      <c r="F49" s="248"/>
    </row>
    <row r="50" spans="2:6" ht="15">
      <c r="B50" s="196"/>
      <c r="C50" s="196" t="s">
        <v>412</v>
      </c>
      <c r="F50" s="248"/>
    </row>
    <row r="51" spans="1:29" ht="38.25">
      <c r="A51" s="196"/>
      <c r="B51" s="196"/>
      <c r="C51" s="196"/>
      <c r="D51" s="197"/>
      <c r="E51" s="297"/>
      <c r="F51" s="296" t="s">
        <v>416</v>
      </c>
      <c r="H51" s="254"/>
      <c r="I51" s="254"/>
      <c r="J51" s="254"/>
      <c r="K51" s="254"/>
      <c r="L51" s="254"/>
      <c r="M51" s="254"/>
      <c r="N51" s="254"/>
      <c r="O51" s="254"/>
      <c r="P51" s="254"/>
      <c r="Q51" s="254"/>
      <c r="R51" s="254"/>
      <c r="S51" s="254"/>
      <c r="T51" s="254"/>
      <c r="U51" s="254"/>
      <c r="V51" s="254"/>
      <c r="W51" s="254"/>
      <c r="X51" s="254"/>
      <c r="Y51" s="254"/>
      <c r="Z51" s="254"/>
      <c r="AA51" s="254"/>
      <c r="AB51" s="255"/>
      <c r="AC51" s="196"/>
    </row>
    <row r="52" spans="1:29" ht="25.5">
      <c r="A52" s="195"/>
      <c r="B52" s="195"/>
      <c r="C52" s="155" t="s">
        <v>54</v>
      </c>
      <c r="D52" s="226">
        <f>Dati!D4</f>
        <v>0</v>
      </c>
      <c r="E52" s="226"/>
      <c r="F52" s="256">
        <f>D52/$F$5</f>
        <v>0</v>
      </c>
      <c r="H52" s="257">
        <f aca="true" t="shared" si="21" ref="H52:W55">ROUND(H$34*$F52,0)</f>
        <v>0</v>
      </c>
      <c r="I52" s="257">
        <f t="shared" si="21"/>
        <v>0</v>
      </c>
      <c r="J52" s="257">
        <f t="shared" si="21"/>
        <v>0</v>
      </c>
      <c r="K52" s="257">
        <f t="shared" si="21"/>
        <v>0</v>
      </c>
      <c r="L52" s="257">
        <f t="shared" si="21"/>
        <v>0</v>
      </c>
      <c r="M52" s="257">
        <f t="shared" si="21"/>
        <v>0</v>
      </c>
      <c r="N52" s="257">
        <f t="shared" si="21"/>
        <v>0</v>
      </c>
      <c r="O52" s="257">
        <f t="shared" si="21"/>
        <v>0</v>
      </c>
      <c r="P52" s="257">
        <f t="shared" si="21"/>
        <v>0</v>
      </c>
      <c r="Q52" s="257">
        <f t="shared" si="21"/>
        <v>0</v>
      </c>
      <c r="R52" s="257">
        <f t="shared" si="21"/>
        <v>0</v>
      </c>
      <c r="S52" s="257">
        <f t="shared" si="21"/>
        <v>0</v>
      </c>
      <c r="T52" s="257">
        <f t="shared" si="21"/>
        <v>0</v>
      </c>
      <c r="U52" s="257">
        <f t="shared" si="21"/>
        <v>0</v>
      </c>
      <c r="V52" s="257">
        <f t="shared" si="21"/>
        <v>0</v>
      </c>
      <c r="W52" s="257">
        <f t="shared" si="21"/>
        <v>0</v>
      </c>
      <c r="X52" s="257">
        <f>ROUND(X$34*$F52,0)</f>
        <v>0</v>
      </c>
      <c r="Y52" s="257">
        <f>ROUND(Y$34*$F52,0)</f>
        <v>0</v>
      </c>
      <c r="Z52" s="257">
        <f>ROUND(Z$34*$F52,0)</f>
        <v>0</v>
      </c>
      <c r="AA52" s="257">
        <f>ROUND(AA$34*$F52,0)</f>
        <v>0</v>
      </c>
      <c r="AB52" s="255"/>
      <c r="AC52" s="195"/>
    </row>
    <row r="53" spans="1:29" ht="25.5">
      <c r="A53" s="195"/>
      <c r="B53" s="195"/>
      <c r="C53" s="155" t="s">
        <v>55</v>
      </c>
      <c r="D53" s="226">
        <f>Dati!D5</f>
        <v>0</v>
      </c>
      <c r="E53" s="226"/>
      <c r="F53" s="256">
        <f>D53/$F$5</f>
        <v>0</v>
      </c>
      <c r="H53" s="257">
        <f t="shared" si="21"/>
        <v>0</v>
      </c>
      <c r="I53" s="257">
        <f t="shared" si="21"/>
        <v>0</v>
      </c>
      <c r="J53" s="257">
        <f t="shared" si="21"/>
        <v>0</v>
      </c>
      <c r="K53" s="257">
        <f t="shared" si="21"/>
        <v>0</v>
      </c>
      <c r="L53" s="257">
        <f t="shared" si="21"/>
        <v>0</v>
      </c>
      <c r="M53" s="257">
        <f t="shared" si="21"/>
        <v>0</v>
      </c>
      <c r="N53" s="257">
        <f t="shared" si="21"/>
        <v>0</v>
      </c>
      <c r="O53" s="257">
        <f t="shared" si="21"/>
        <v>0</v>
      </c>
      <c r="P53" s="257">
        <f t="shared" si="21"/>
        <v>0</v>
      </c>
      <c r="Q53" s="257">
        <f aca="true" t="shared" si="22" ref="Q53:AA55">ROUND(Q$34*$F53,0)</f>
        <v>0</v>
      </c>
      <c r="R53" s="257">
        <f t="shared" si="22"/>
        <v>0</v>
      </c>
      <c r="S53" s="257">
        <f t="shared" si="22"/>
        <v>0</v>
      </c>
      <c r="T53" s="257">
        <f t="shared" si="22"/>
        <v>0</v>
      </c>
      <c r="U53" s="257">
        <f t="shared" si="22"/>
        <v>0</v>
      </c>
      <c r="V53" s="257">
        <f t="shared" si="22"/>
        <v>0</v>
      </c>
      <c r="W53" s="257">
        <f t="shared" si="22"/>
        <v>0</v>
      </c>
      <c r="X53" s="257">
        <f t="shared" si="22"/>
        <v>0</v>
      </c>
      <c r="Y53" s="257">
        <f t="shared" si="22"/>
        <v>0</v>
      </c>
      <c r="Z53" s="257">
        <f t="shared" si="22"/>
        <v>0</v>
      </c>
      <c r="AA53" s="257">
        <f t="shared" si="22"/>
        <v>0</v>
      </c>
      <c r="AB53" s="255"/>
      <c r="AC53" s="195"/>
    </row>
    <row r="54" spans="1:29" ht="25.5">
      <c r="A54" s="195"/>
      <c r="B54" s="195"/>
      <c r="C54" s="156" t="s">
        <v>56</v>
      </c>
      <c r="D54" s="226">
        <f>Dati!D6</f>
        <v>0</v>
      </c>
      <c r="E54" s="226"/>
      <c r="F54" s="256">
        <f>D54/$F$5</f>
        <v>0</v>
      </c>
      <c r="H54" s="257">
        <f t="shared" si="21"/>
        <v>0</v>
      </c>
      <c r="I54" s="257">
        <f t="shared" si="21"/>
        <v>0</v>
      </c>
      <c r="J54" s="257">
        <f t="shared" si="21"/>
        <v>0</v>
      </c>
      <c r="K54" s="257">
        <f t="shared" si="21"/>
        <v>0</v>
      </c>
      <c r="L54" s="257">
        <f t="shared" si="21"/>
        <v>0</v>
      </c>
      <c r="M54" s="257">
        <f t="shared" si="21"/>
        <v>0</v>
      </c>
      <c r="N54" s="257">
        <f t="shared" si="21"/>
        <v>0</v>
      </c>
      <c r="O54" s="257">
        <f t="shared" si="21"/>
        <v>0</v>
      </c>
      <c r="P54" s="257">
        <f t="shared" si="21"/>
        <v>0</v>
      </c>
      <c r="Q54" s="257">
        <f t="shared" si="22"/>
        <v>0</v>
      </c>
      <c r="R54" s="257">
        <f t="shared" si="22"/>
        <v>0</v>
      </c>
      <c r="S54" s="257">
        <f t="shared" si="22"/>
        <v>0</v>
      </c>
      <c r="T54" s="257">
        <f t="shared" si="22"/>
        <v>0</v>
      </c>
      <c r="U54" s="257">
        <f t="shared" si="22"/>
        <v>0</v>
      </c>
      <c r="V54" s="257">
        <f t="shared" si="22"/>
        <v>0</v>
      </c>
      <c r="W54" s="257">
        <f t="shared" si="22"/>
        <v>0</v>
      </c>
      <c r="X54" s="257">
        <f t="shared" si="22"/>
        <v>0</v>
      </c>
      <c r="Y54" s="257">
        <f t="shared" si="22"/>
        <v>0</v>
      </c>
      <c r="Z54" s="257">
        <f t="shared" si="22"/>
        <v>0</v>
      </c>
      <c r="AA54" s="257">
        <f t="shared" si="22"/>
        <v>0</v>
      </c>
      <c r="AB54" s="255"/>
      <c r="AC54" s="195"/>
    </row>
    <row r="55" spans="1:29" ht="25.5">
      <c r="A55" s="195"/>
      <c r="B55" s="195"/>
      <c r="C55" s="156" t="s">
        <v>57</v>
      </c>
      <c r="D55" s="226">
        <f>Dati!D7</f>
        <v>0</v>
      </c>
      <c r="E55" s="226"/>
      <c r="F55" s="256">
        <f>D55/$F$5</f>
        <v>0</v>
      </c>
      <c r="H55" s="257">
        <f t="shared" si="21"/>
        <v>0</v>
      </c>
      <c r="I55" s="257">
        <f t="shared" si="21"/>
        <v>0</v>
      </c>
      <c r="J55" s="257">
        <f t="shared" si="21"/>
        <v>0</v>
      </c>
      <c r="K55" s="257">
        <f t="shared" si="21"/>
        <v>0</v>
      </c>
      <c r="L55" s="257">
        <f t="shared" si="21"/>
        <v>0</v>
      </c>
      <c r="M55" s="257">
        <f t="shared" si="21"/>
        <v>0</v>
      </c>
      <c r="N55" s="257">
        <f t="shared" si="21"/>
        <v>0</v>
      </c>
      <c r="O55" s="257">
        <f t="shared" si="21"/>
        <v>0</v>
      </c>
      <c r="P55" s="257">
        <f t="shared" si="21"/>
        <v>0</v>
      </c>
      <c r="Q55" s="257">
        <f t="shared" si="22"/>
        <v>0</v>
      </c>
      <c r="R55" s="257">
        <f t="shared" si="22"/>
        <v>0</v>
      </c>
      <c r="S55" s="257">
        <f t="shared" si="22"/>
        <v>0</v>
      </c>
      <c r="T55" s="257">
        <f t="shared" si="22"/>
        <v>0</v>
      </c>
      <c r="U55" s="257">
        <f t="shared" si="22"/>
        <v>0</v>
      </c>
      <c r="V55" s="257">
        <f t="shared" si="22"/>
        <v>0</v>
      </c>
      <c r="W55" s="257">
        <f t="shared" si="22"/>
        <v>0</v>
      </c>
      <c r="X55" s="257">
        <f t="shared" si="22"/>
        <v>0</v>
      </c>
      <c r="Y55" s="257">
        <f t="shared" si="22"/>
        <v>0</v>
      </c>
      <c r="Z55" s="257">
        <f t="shared" si="22"/>
        <v>0</v>
      </c>
      <c r="AA55" s="257">
        <f t="shared" si="22"/>
        <v>0</v>
      </c>
      <c r="AB55" s="255"/>
      <c r="AC55" s="195"/>
    </row>
    <row r="56" spans="3:6" ht="15">
      <c r="C56" s="152"/>
      <c r="F56" s="248"/>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0F0F0"/>
  </sheetPr>
  <dimension ref="A1:IV234"/>
  <sheetViews>
    <sheetView zoomScale="55" zoomScaleNormal="55" zoomScalePageLayoutView="0" workbookViewId="0" topLeftCell="I2">
      <selection activeCell="Z25" sqref="Z25"/>
    </sheetView>
  </sheetViews>
  <sheetFormatPr defaultColWidth="9.00390625" defaultRowHeight="15.75"/>
  <cols>
    <col min="1" max="1" width="2.875" style="0" customWidth="1"/>
    <col min="2" max="2" width="3.50390625" style="0" customWidth="1"/>
    <col min="3" max="3" width="82.50390625" style="0" customWidth="1"/>
    <col min="4" max="4" width="7.875" style="310" customWidth="1"/>
    <col min="5" max="6" width="8.75390625" style="0" hidden="1" customWidth="1"/>
    <col min="7" max="7" width="11.00390625" style="0" customWidth="1"/>
    <col min="21" max="21" width="10.375" style="0" bestFit="1" customWidth="1"/>
    <col min="22" max="30" width="9.00390625" style="0" customWidth="1"/>
    <col min="31" max="16384" width="8.75390625" style="444" customWidth="1"/>
  </cols>
  <sheetData>
    <row r="1" spans="1:30" s="442"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c r="AC1" s="151"/>
      <c r="AD1" s="154"/>
    </row>
    <row r="2" spans="1:30" s="442"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19</v>
      </c>
      <c r="AB2" s="151">
        <v>20</v>
      </c>
      <c r="AC2" s="151"/>
      <c r="AD2" s="154"/>
    </row>
    <row r="3" spans="1:30" s="443" customFormat="1" ht="12.75">
      <c r="A3" s="157" t="str">
        <f>Dati!B1</f>
        <v>Profesionālās izglītības vai profesionālās kultūrizglītības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2035</v>
      </c>
      <c r="AB3" s="162">
        <v>2036</v>
      </c>
      <c r="AC3" s="158" t="s">
        <v>21</v>
      </c>
      <c r="AD3" s="159"/>
    </row>
    <row r="4" spans="1:30" ht="15">
      <c r="A4" s="152"/>
      <c r="B4" s="152"/>
      <c r="C4" s="241" t="s">
        <v>269</v>
      </c>
      <c r="D4" s="230"/>
      <c r="E4" s="230"/>
      <c r="F4" s="233"/>
      <c r="G4" s="258">
        <f>IF(Dati!C10&gt;0,0%,100%)</f>
        <v>1</v>
      </c>
      <c r="H4" s="258">
        <f>IF(Dati!D10&gt;0,0%,100%)</f>
        <v>1</v>
      </c>
      <c r="I4" s="258">
        <f>IF(Dati!E10&gt;0,0%,100%)</f>
        <v>1</v>
      </c>
      <c r="J4" s="258">
        <f>IF(Dati!F10&gt;0,0%,100%)</f>
        <v>1</v>
      </c>
      <c r="K4" s="258">
        <f>IF(Dati!G10&gt;0,0%,100%)</f>
        <v>1</v>
      </c>
      <c r="L4" s="258">
        <f>IF(Dati!H10&gt;0,0%,100%)</f>
        <v>1</v>
      </c>
      <c r="M4" s="258">
        <f>IF(Dati!I10&gt;0,0%,100%)</f>
        <v>1</v>
      </c>
      <c r="N4" s="258">
        <f>IF(Dati!J10&gt;0,0%,100%)</f>
        <v>1</v>
      </c>
      <c r="O4" s="258">
        <f>IF(Dati!K10&gt;0,0%,100%)</f>
        <v>1</v>
      </c>
      <c r="P4" s="258">
        <f>IF(Dati!L10&gt;0,0%,100%)</f>
        <v>1</v>
      </c>
      <c r="Q4" s="258">
        <f>IF(Dati!M10&gt;0,0%,100%)</f>
        <v>1</v>
      </c>
      <c r="R4" s="258">
        <f>IF(Dati!N10&gt;0,0%,100%)</f>
        <v>1</v>
      </c>
      <c r="S4" s="258">
        <f>IF(Dati!O10&gt;0,0%,100%)</f>
        <v>1</v>
      </c>
      <c r="T4" s="258">
        <f>IF(Dati!P10&gt;0,0%,100%)</f>
        <v>1</v>
      </c>
      <c r="U4" s="258">
        <f>IF(Dati!Q10&gt;0,0%,100%)</f>
        <v>1</v>
      </c>
      <c r="V4" s="258">
        <f>IF(Dati!R10&gt;0,0%,100%)</f>
        <v>1</v>
      </c>
      <c r="W4" s="258">
        <f>IF(Dati!S10&gt;0,0%,100%)</f>
        <v>1</v>
      </c>
      <c r="X4" s="258">
        <f>IF(Dati!T10&gt;0,0%,100%)</f>
        <v>1</v>
      </c>
      <c r="Y4" s="258">
        <f>IF(Dati!U10&gt;0,0%,100%)</f>
        <v>1</v>
      </c>
      <c r="Z4" s="258">
        <f>IF(Dati!V10&gt;0,0%,100%)</f>
        <v>1</v>
      </c>
      <c r="AA4" s="258">
        <f>IF(Dati!W10&gt;0,0%,100%)</f>
        <v>1</v>
      </c>
      <c r="AB4" s="258">
        <f>IF(Dati!X10&gt;0,0%,100%)</f>
        <v>1</v>
      </c>
      <c r="AC4" s="233"/>
      <c r="AD4" s="152"/>
    </row>
    <row r="5" spans="1:30" ht="15">
      <c r="A5" s="163" t="s">
        <v>195</v>
      </c>
      <c r="B5" s="163" t="s">
        <v>306</v>
      </c>
      <c r="C5" s="238"/>
      <c r="D5" s="228"/>
      <c r="E5" s="228"/>
      <c r="F5" s="244"/>
      <c r="G5" s="244"/>
      <c r="H5" s="244"/>
      <c r="I5" s="244"/>
      <c r="J5" s="244"/>
      <c r="K5" s="244"/>
      <c r="L5" s="244"/>
      <c r="M5" s="244"/>
      <c r="N5" s="244"/>
      <c r="O5" s="244"/>
      <c r="P5" s="244"/>
      <c r="Q5" s="244"/>
      <c r="R5" s="244"/>
      <c r="S5" s="244"/>
      <c r="T5" s="244"/>
      <c r="U5" s="244"/>
      <c r="V5" s="244"/>
      <c r="W5" s="244"/>
      <c r="X5" s="244"/>
      <c r="Y5" s="244"/>
      <c r="Z5" s="244"/>
      <c r="AA5" s="244"/>
      <c r="AB5" s="244"/>
      <c r="AC5" s="244"/>
      <c r="AD5" s="163"/>
    </row>
    <row r="6" spans="1:30" ht="15">
      <c r="A6" s="206"/>
      <c r="B6" s="206"/>
      <c r="C6" s="239" t="s">
        <v>606</v>
      </c>
      <c r="D6" s="229"/>
      <c r="E6" s="229"/>
      <c r="F6" s="245"/>
      <c r="G6" s="245"/>
      <c r="H6" s="245"/>
      <c r="I6" s="245"/>
      <c r="J6" s="245"/>
      <c r="K6" s="245"/>
      <c r="L6" s="245"/>
      <c r="M6" s="245"/>
      <c r="N6" s="245"/>
      <c r="O6" s="245"/>
      <c r="P6" s="245"/>
      <c r="Q6" s="245"/>
      <c r="R6" s="245"/>
      <c r="S6" s="245"/>
      <c r="T6" s="245"/>
      <c r="U6" s="245"/>
      <c r="V6" s="245"/>
      <c r="W6" s="245"/>
      <c r="X6" s="245"/>
      <c r="Y6" s="245"/>
      <c r="Z6" s="245"/>
      <c r="AA6" s="245"/>
      <c r="AB6" s="245"/>
      <c r="AC6" s="245"/>
      <c r="AD6" s="206"/>
    </row>
    <row r="7" spans="1:30" ht="15">
      <c r="A7" s="152"/>
      <c r="B7" s="152"/>
      <c r="C7" s="204" t="s">
        <v>54</v>
      </c>
      <c r="D7" s="230" t="s">
        <v>13</v>
      </c>
      <c r="E7" s="230"/>
      <c r="F7" s="233"/>
      <c r="G7" s="258">
        <f>-'Prof &amp; Augst'!F21</f>
        <v>0.09447655052961162</v>
      </c>
      <c r="H7" s="258">
        <f>G7</f>
        <v>0.09447655052961162</v>
      </c>
      <c r="I7" s="258">
        <f>H7</f>
        <v>0.09447655052961162</v>
      </c>
      <c r="J7" s="258">
        <f aca="true" t="shared" si="0" ref="J7:AB7">I7</f>
        <v>0.09447655052961162</v>
      </c>
      <c r="K7" s="258">
        <f t="shared" si="0"/>
        <v>0.09447655052961162</v>
      </c>
      <c r="L7" s="258">
        <f t="shared" si="0"/>
        <v>0.09447655052961162</v>
      </c>
      <c r="M7" s="258">
        <f t="shared" si="0"/>
        <v>0.09447655052961162</v>
      </c>
      <c r="N7" s="258">
        <f t="shared" si="0"/>
        <v>0.09447655052961162</v>
      </c>
      <c r="O7" s="258">
        <f t="shared" si="0"/>
        <v>0.09447655052961162</v>
      </c>
      <c r="P7" s="258">
        <f t="shared" si="0"/>
        <v>0.09447655052961162</v>
      </c>
      <c r="Q7" s="258">
        <f t="shared" si="0"/>
        <v>0.09447655052961162</v>
      </c>
      <c r="R7" s="258">
        <f t="shared" si="0"/>
        <v>0.09447655052961162</v>
      </c>
      <c r="S7" s="258">
        <f t="shared" si="0"/>
        <v>0.09447655052961162</v>
      </c>
      <c r="T7" s="258">
        <f t="shared" si="0"/>
        <v>0.09447655052961162</v>
      </c>
      <c r="U7" s="258">
        <f t="shared" si="0"/>
        <v>0.09447655052961162</v>
      </c>
      <c r="V7" s="258">
        <f t="shared" si="0"/>
        <v>0.09447655052961162</v>
      </c>
      <c r="W7" s="258">
        <f t="shared" si="0"/>
        <v>0.09447655052961162</v>
      </c>
      <c r="X7" s="258">
        <f t="shared" si="0"/>
        <v>0.09447655052961162</v>
      </c>
      <c r="Y7" s="258">
        <f t="shared" si="0"/>
        <v>0.09447655052961162</v>
      </c>
      <c r="Z7" s="258">
        <f t="shared" si="0"/>
        <v>0.09447655052961162</v>
      </c>
      <c r="AA7" s="258">
        <f t="shared" si="0"/>
        <v>0.09447655052961162</v>
      </c>
      <c r="AB7" s="258">
        <f t="shared" si="0"/>
        <v>0.09447655052961162</v>
      </c>
      <c r="AC7" s="233"/>
      <c r="AD7" s="152"/>
    </row>
    <row r="8" spans="1:30" ht="25.5">
      <c r="A8" s="152"/>
      <c r="B8" s="152"/>
      <c r="C8" s="204" t="s">
        <v>55</v>
      </c>
      <c r="D8" s="230"/>
      <c r="E8" s="230"/>
      <c r="F8" s="233"/>
      <c r="G8" s="258">
        <f>G$7</f>
        <v>0.09447655052961162</v>
      </c>
      <c r="H8" s="258">
        <f aca="true" t="shared" si="1" ref="H8:W10">H$7</f>
        <v>0.09447655052961162</v>
      </c>
      <c r="I8" s="258">
        <f t="shared" si="1"/>
        <v>0.09447655052961162</v>
      </c>
      <c r="J8" s="258">
        <f t="shared" si="1"/>
        <v>0.09447655052961162</v>
      </c>
      <c r="K8" s="258">
        <f t="shared" si="1"/>
        <v>0.09447655052961162</v>
      </c>
      <c r="L8" s="258">
        <f t="shared" si="1"/>
        <v>0.09447655052961162</v>
      </c>
      <c r="M8" s="258">
        <f t="shared" si="1"/>
        <v>0.09447655052961162</v>
      </c>
      <c r="N8" s="258">
        <f t="shared" si="1"/>
        <v>0.09447655052961162</v>
      </c>
      <c r="O8" s="258">
        <f t="shared" si="1"/>
        <v>0.09447655052961162</v>
      </c>
      <c r="P8" s="258">
        <f t="shared" si="1"/>
        <v>0.09447655052961162</v>
      </c>
      <c r="Q8" s="258">
        <f t="shared" si="1"/>
        <v>0.09447655052961162</v>
      </c>
      <c r="R8" s="258">
        <f t="shared" si="1"/>
        <v>0.09447655052961162</v>
      </c>
      <c r="S8" s="258">
        <f t="shared" si="1"/>
        <v>0.09447655052961162</v>
      </c>
      <c r="T8" s="258">
        <f t="shared" si="1"/>
        <v>0.09447655052961162</v>
      </c>
      <c r="U8" s="258">
        <f t="shared" si="1"/>
        <v>0.09447655052961162</v>
      </c>
      <c r="V8" s="258">
        <f t="shared" si="1"/>
        <v>0.09447655052961162</v>
      </c>
      <c r="W8" s="258">
        <f t="shared" si="1"/>
        <v>0.09447655052961162</v>
      </c>
      <c r="X8" s="258">
        <f aca="true" t="shared" si="2" ref="X8:AB10">X$7</f>
        <v>0.09447655052961162</v>
      </c>
      <c r="Y8" s="258">
        <f t="shared" si="2"/>
        <v>0.09447655052961162</v>
      </c>
      <c r="Z8" s="258">
        <f t="shared" si="2"/>
        <v>0.09447655052961162</v>
      </c>
      <c r="AA8" s="258">
        <f t="shared" si="2"/>
        <v>0.09447655052961162</v>
      </c>
      <c r="AB8" s="258">
        <f t="shared" si="2"/>
        <v>0.09447655052961162</v>
      </c>
      <c r="AC8" s="233"/>
      <c r="AD8" s="152"/>
    </row>
    <row r="9" spans="1:30" ht="25.5">
      <c r="A9" s="152"/>
      <c r="B9" s="152"/>
      <c r="C9" s="205" t="s">
        <v>56</v>
      </c>
      <c r="D9" s="230"/>
      <c r="E9" s="230"/>
      <c r="F9" s="233"/>
      <c r="G9" s="258">
        <f>G$7</f>
        <v>0.09447655052961162</v>
      </c>
      <c r="H9" s="258">
        <f t="shared" si="1"/>
        <v>0.09447655052961162</v>
      </c>
      <c r="I9" s="258">
        <f t="shared" si="1"/>
        <v>0.09447655052961162</v>
      </c>
      <c r="J9" s="258">
        <f t="shared" si="1"/>
        <v>0.09447655052961162</v>
      </c>
      <c r="K9" s="258">
        <f t="shared" si="1"/>
        <v>0.09447655052961162</v>
      </c>
      <c r="L9" s="258">
        <f t="shared" si="1"/>
        <v>0.09447655052961162</v>
      </c>
      <c r="M9" s="258">
        <f t="shared" si="1"/>
        <v>0.09447655052961162</v>
      </c>
      <c r="N9" s="258">
        <f t="shared" si="1"/>
        <v>0.09447655052961162</v>
      </c>
      <c r="O9" s="258">
        <f t="shared" si="1"/>
        <v>0.09447655052961162</v>
      </c>
      <c r="P9" s="258">
        <f t="shared" si="1"/>
        <v>0.09447655052961162</v>
      </c>
      <c r="Q9" s="258">
        <f t="shared" si="1"/>
        <v>0.09447655052961162</v>
      </c>
      <c r="R9" s="258">
        <f t="shared" si="1"/>
        <v>0.09447655052961162</v>
      </c>
      <c r="S9" s="258">
        <f t="shared" si="1"/>
        <v>0.09447655052961162</v>
      </c>
      <c r="T9" s="258">
        <f t="shared" si="1"/>
        <v>0.09447655052961162</v>
      </c>
      <c r="U9" s="258">
        <f t="shared" si="1"/>
        <v>0.09447655052961162</v>
      </c>
      <c r="V9" s="258">
        <f t="shared" si="1"/>
        <v>0.09447655052961162</v>
      </c>
      <c r="W9" s="258">
        <f t="shared" si="1"/>
        <v>0.09447655052961162</v>
      </c>
      <c r="X9" s="258">
        <f t="shared" si="2"/>
        <v>0.09447655052961162</v>
      </c>
      <c r="Y9" s="258">
        <f t="shared" si="2"/>
        <v>0.09447655052961162</v>
      </c>
      <c r="Z9" s="258">
        <f t="shared" si="2"/>
        <v>0.09447655052961162</v>
      </c>
      <c r="AA9" s="258">
        <f t="shared" si="2"/>
        <v>0.09447655052961162</v>
      </c>
      <c r="AB9" s="258">
        <f t="shared" si="2"/>
        <v>0.09447655052961162</v>
      </c>
      <c r="AC9" s="233"/>
      <c r="AD9" s="152"/>
    </row>
    <row r="10" spans="1:30" ht="25.5">
      <c r="A10" s="152"/>
      <c r="B10" s="152"/>
      <c r="C10" s="205" t="s">
        <v>57</v>
      </c>
      <c r="D10" s="230"/>
      <c r="E10" s="230"/>
      <c r="F10" s="233"/>
      <c r="G10" s="258">
        <f>G$7</f>
        <v>0.09447655052961162</v>
      </c>
      <c r="H10" s="258">
        <f t="shared" si="1"/>
        <v>0.09447655052961162</v>
      </c>
      <c r="I10" s="258">
        <f t="shared" si="1"/>
        <v>0.09447655052961162</v>
      </c>
      <c r="J10" s="258">
        <f t="shared" si="1"/>
        <v>0.09447655052961162</v>
      </c>
      <c r="K10" s="258">
        <f t="shared" si="1"/>
        <v>0.09447655052961162</v>
      </c>
      <c r="L10" s="258">
        <f t="shared" si="1"/>
        <v>0.09447655052961162</v>
      </c>
      <c r="M10" s="258">
        <f t="shared" si="1"/>
        <v>0.09447655052961162</v>
      </c>
      <c r="N10" s="258">
        <f t="shared" si="1"/>
        <v>0.09447655052961162</v>
      </c>
      <c r="O10" s="258">
        <f t="shared" si="1"/>
        <v>0.09447655052961162</v>
      </c>
      <c r="P10" s="258">
        <f t="shared" si="1"/>
        <v>0.09447655052961162</v>
      </c>
      <c r="Q10" s="258">
        <f t="shared" si="1"/>
        <v>0.09447655052961162</v>
      </c>
      <c r="R10" s="258">
        <f t="shared" si="1"/>
        <v>0.09447655052961162</v>
      </c>
      <c r="S10" s="258">
        <f t="shared" si="1"/>
        <v>0.09447655052961162</v>
      </c>
      <c r="T10" s="258">
        <f t="shared" si="1"/>
        <v>0.09447655052961162</v>
      </c>
      <c r="U10" s="258">
        <f t="shared" si="1"/>
        <v>0.09447655052961162</v>
      </c>
      <c r="V10" s="258">
        <f t="shared" si="1"/>
        <v>0.09447655052961162</v>
      </c>
      <c r="W10" s="258">
        <f t="shared" si="1"/>
        <v>0.09447655052961162</v>
      </c>
      <c r="X10" s="258">
        <f t="shared" si="2"/>
        <v>0.09447655052961162</v>
      </c>
      <c r="Y10" s="258">
        <f t="shared" si="2"/>
        <v>0.09447655052961162</v>
      </c>
      <c r="Z10" s="258">
        <f t="shared" si="2"/>
        <v>0.09447655052961162</v>
      </c>
      <c r="AA10" s="258">
        <f t="shared" si="2"/>
        <v>0.09447655052961162</v>
      </c>
      <c r="AB10" s="258">
        <f t="shared" si="2"/>
        <v>0.09447655052961162</v>
      </c>
      <c r="AC10" s="233"/>
      <c r="AD10" s="152"/>
    </row>
    <row r="11" spans="1:30" ht="15">
      <c r="A11" s="152"/>
      <c r="B11" s="152"/>
      <c r="C11" s="205"/>
      <c r="D11" s="230"/>
      <c r="E11" s="230"/>
      <c r="F11" s="233"/>
      <c r="G11" s="258"/>
      <c r="H11" s="258"/>
      <c r="I11" s="258"/>
      <c r="J11" s="258"/>
      <c r="K11" s="258"/>
      <c r="L11" s="258"/>
      <c r="M11" s="258"/>
      <c r="N11" s="258"/>
      <c r="O11" s="258"/>
      <c r="P11" s="258"/>
      <c r="Q11" s="258"/>
      <c r="R11" s="258"/>
      <c r="S11" s="258"/>
      <c r="T11" s="258"/>
      <c r="U11" s="258"/>
      <c r="V11" s="258"/>
      <c r="W11" s="258"/>
      <c r="X11" s="258"/>
      <c r="Y11" s="258"/>
      <c r="Z11" s="258"/>
      <c r="AA11" s="258"/>
      <c r="AB11" s="258"/>
      <c r="AC11" s="233"/>
      <c r="AD11" s="152"/>
    </row>
    <row r="12" spans="1:30" ht="15">
      <c r="A12" s="206"/>
      <c r="B12" s="206"/>
      <c r="C12" s="239" t="s">
        <v>293</v>
      </c>
      <c r="D12" s="229"/>
      <c r="E12" s="229"/>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06"/>
    </row>
    <row r="13" spans="1:30" ht="15">
      <c r="A13" s="152"/>
      <c r="B13" s="152"/>
      <c r="C13" s="241"/>
      <c r="D13" s="230"/>
      <c r="E13" s="230"/>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152"/>
    </row>
    <row r="14" spans="1:30" ht="15">
      <c r="A14" s="152"/>
      <c r="B14" s="152"/>
      <c r="C14" s="204" t="s">
        <v>54</v>
      </c>
      <c r="D14" s="230"/>
      <c r="E14" s="230"/>
      <c r="F14" s="233"/>
      <c r="G14" s="233"/>
      <c r="H14" s="259">
        <f>ROUND('Izglītojamie - ar projektu'!H52*(1-H7),0)</f>
        <v>0</v>
      </c>
      <c r="I14" s="259">
        <f>ROUND('Izglītojamie - ar projektu'!I52*(1-I7),0)</f>
        <v>0</v>
      </c>
      <c r="J14" s="259">
        <f>ROUND('Izglītojamie - ar projektu'!J52*(1-J7),0)</f>
        <v>0</v>
      </c>
      <c r="K14" s="259">
        <f>ROUND('Izglītojamie - ar projektu'!K52*(1-K7),0)</f>
        <v>0</v>
      </c>
      <c r="L14" s="259">
        <f>ROUND('Izglītojamie - ar projektu'!L52*(1-L7),0)</f>
        <v>0</v>
      </c>
      <c r="M14" s="259">
        <f>ROUND('Izglītojamie - ar projektu'!M52*(1-M7),0)</f>
        <v>0</v>
      </c>
      <c r="N14" s="259">
        <f>ROUND('Izglītojamie - ar projektu'!N52*(1-N7),0)</f>
        <v>0</v>
      </c>
      <c r="O14" s="259">
        <f>ROUND('Izglītojamie - ar projektu'!O52*(1-O7),0)</f>
        <v>0</v>
      </c>
      <c r="P14" s="259">
        <f>ROUND('Izglītojamie - ar projektu'!P52*(1-P7),0)</f>
        <v>0</v>
      </c>
      <c r="Q14" s="259">
        <f>ROUND('Izglītojamie - ar projektu'!Q52*(1-Q7),0)</f>
        <v>0</v>
      </c>
      <c r="R14" s="259">
        <f>ROUND('Izglītojamie - ar projektu'!R52*(1-R7),0)</f>
        <v>0</v>
      </c>
      <c r="S14" s="259">
        <f>ROUND('Izglītojamie - ar projektu'!S52*(1-S7),0)</f>
        <v>0</v>
      </c>
      <c r="T14" s="259">
        <f>ROUND('Izglītojamie - ar projektu'!T52*(1-T7),0)</f>
        <v>0</v>
      </c>
      <c r="U14" s="259">
        <f>ROUND('Izglītojamie - ar projektu'!U52*(1-U7),0)</f>
        <v>0</v>
      </c>
      <c r="V14" s="259">
        <f>ROUND('Izglītojamie - ar projektu'!V52*(1-V7),0)</f>
        <v>0</v>
      </c>
      <c r="W14" s="259">
        <f>ROUND('Izglītojamie - ar projektu'!W52*(1-W7),0)</f>
        <v>0</v>
      </c>
      <c r="X14" s="259">
        <f>ROUND('Izglītojamie - ar projektu'!X52*(1-X7),0)</f>
        <v>0</v>
      </c>
      <c r="Y14" s="259">
        <f>ROUND('Izglītojamie - ar projektu'!Y52*(1-Y7),0)</f>
        <v>0</v>
      </c>
      <c r="Z14" s="259">
        <f>ROUND('Izglītojamie - ar projektu'!Z52*(1-Z7),0)</f>
        <v>0</v>
      </c>
      <c r="AA14" s="259">
        <f>ROUND('Izglītojamie - ar projektu'!AA52*(1-AA7),0)</f>
        <v>0</v>
      </c>
      <c r="AB14" s="259">
        <f>ROUND('Izglītojamie - ar projektu'!AB52*(1-AB7),0)</f>
        <v>0</v>
      </c>
      <c r="AC14" s="233"/>
      <c r="AD14" s="152"/>
    </row>
    <row r="15" spans="1:30" ht="25.5">
      <c r="A15" s="152"/>
      <c r="B15" s="152"/>
      <c r="C15" s="204" t="s">
        <v>55</v>
      </c>
      <c r="D15" s="230"/>
      <c r="E15" s="230"/>
      <c r="F15" s="233"/>
      <c r="G15" s="233"/>
      <c r="H15" s="259">
        <f>ROUND('Izglītojamie - ar projektu'!H53*(1-H8),0)</f>
        <v>0</v>
      </c>
      <c r="I15" s="259">
        <f>ROUND('Izglītojamie - ar projektu'!I53*(1-I8),0)</f>
        <v>0</v>
      </c>
      <c r="J15" s="259">
        <f>ROUND('Izglītojamie - ar projektu'!J53*(1-J8),0)</f>
        <v>0</v>
      </c>
      <c r="K15" s="259">
        <f>ROUND('Izglītojamie - ar projektu'!K53*(1-K8),0)</f>
        <v>0</v>
      </c>
      <c r="L15" s="259">
        <f>ROUND('Izglītojamie - ar projektu'!L53*(1-L8),0)</f>
        <v>0</v>
      </c>
      <c r="M15" s="259">
        <f>ROUND('Izglītojamie - ar projektu'!M53*(1-M8),0)</f>
        <v>0</v>
      </c>
      <c r="N15" s="259">
        <f>ROUND('Izglītojamie - ar projektu'!N53*(1-N8),0)</f>
        <v>0</v>
      </c>
      <c r="O15" s="259">
        <f>ROUND('Izglītojamie - ar projektu'!O53*(1-O8),0)</f>
        <v>0</v>
      </c>
      <c r="P15" s="259">
        <f>ROUND('Izglītojamie - ar projektu'!P53*(1-P8),0)</f>
        <v>0</v>
      </c>
      <c r="Q15" s="259">
        <f>ROUND('Izglītojamie - ar projektu'!Q53*(1-Q8),0)</f>
        <v>0</v>
      </c>
      <c r="R15" s="259">
        <f>ROUND('Izglītojamie - ar projektu'!R53*(1-R8),0)</f>
        <v>0</v>
      </c>
      <c r="S15" s="259">
        <f>ROUND('Izglītojamie - ar projektu'!S53*(1-S8),0)</f>
        <v>0</v>
      </c>
      <c r="T15" s="259">
        <f>ROUND('Izglītojamie - ar projektu'!T53*(1-T8),0)</f>
        <v>0</v>
      </c>
      <c r="U15" s="259">
        <f>ROUND('Izglītojamie - ar projektu'!U53*(1-U8),0)</f>
        <v>0</v>
      </c>
      <c r="V15" s="259">
        <f>ROUND('Izglītojamie - ar projektu'!V53*(1-V8),0)</f>
        <v>0</v>
      </c>
      <c r="W15" s="259">
        <f>ROUND('Izglītojamie - ar projektu'!W53*(1-W8),0)</f>
        <v>0</v>
      </c>
      <c r="X15" s="259">
        <f>ROUND('Izglītojamie - ar projektu'!X53*(1-X8),0)</f>
        <v>0</v>
      </c>
      <c r="Y15" s="259">
        <f>ROUND('Izglītojamie - ar projektu'!Y53*(1-Y8),0)</f>
        <v>0</v>
      </c>
      <c r="Z15" s="259">
        <f>ROUND('Izglītojamie - ar projektu'!Z53*(1-Z8),0)</f>
        <v>0</v>
      </c>
      <c r="AA15" s="259">
        <f>ROUND('Izglītojamie - ar projektu'!AA53*(1-AA8),0)</f>
        <v>0</v>
      </c>
      <c r="AB15" s="259">
        <f>ROUND('Izglītojamie - ar projektu'!AB53*(1-AB8),0)</f>
        <v>0</v>
      </c>
      <c r="AC15" s="233"/>
      <c r="AD15" s="152"/>
    </row>
    <row r="16" spans="1:30" ht="25.5">
      <c r="A16" s="152"/>
      <c r="B16" s="152"/>
      <c r="C16" s="205" t="s">
        <v>56</v>
      </c>
      <c r="D16" s="230"/>
      <c r="E16" s="230"/>
      <c r="F16" s="233"/>
      <c r="G16" s="233"/>
      <c r="H16" s="259">
        <f>ROUND('Izglītojamie - ar projektu'!H54*(1-H9),0)</f>
        <v>0</v>
      </c>
      <c r="I16" s="259">
        <f>ROUND('Izglītojamie - ar projektu'!I54*(1-I9),0)</f>
        <v>0</v>
      </c>
      <c r="J16" s="259">
        <f>ROUND('Izglītojamie - ar projektu'!J54*(1-J9),0)</f>
        <v>0</v>
      </c>
      <c r="K16" s="259">
        <f>ROUND('Izglītojamie - ar projektu'!K54*(1-K9),0)</f>
        <v>0</v>
      </c>
      <c r="L16" s="259">
        <f>ROUND('Izglītojamie - ar projektu'!L54*(1-L9),0)</f>
        <v>0</v>
      </c>
      <c r="M16" s="259">
        <f>ROUND('Izglītojamie - ar projektu'!M54*(1-M9),0)</f>
        <v>0</v>
      </c>
      <c r="N16" s="259">
        <f>ROUND('Izglītojamie - ar projektu'!N54*(1-N9),0)</f>
        <v>0</v>
      </c>
      <c r="O16" s="259">
        <f>ROUND('Izglītojamie - ar projektu'!O54*(1-O9),0)</f>
        <v>0</v>
      </c>
      <c r="P16" s="259">
        <f>ROUND('Izglītojamie - ar projektu'!P54*(1-P9),0)</f>
        <v>0</v>
      </c>
      <c r="Q16" s="259">
        <f>ROUND('Izglītojamie - ar projektu'!Q54*(1-Q9),0)</f>
        <v>0</v>
      </c>
      <c r="R16" s="259">
        <f>ROUND('Izglītojamie - ar projektu'!R54*(1-R9),0)</f>
        <v>0</v>
      </c>
      <c r="S16" s="259">
        <f>ROUND('Izglītojamie - ar projektu'!S54*(1-S9),0)</f>
        <v>0</v>
      </c>
      <c r="T16" s="259">
        <f>ROUND('Izglītojamie - ar projektu'!T54*(1-T9),0)</f>
        <v>0</v>
      </c>
      <c r="U16" s="259">
        <f>ROUND('Izglītojamie - ar projektu'!U54*(1-U9),0)</f>
        <v>0</v>
      </c>
      <c r="V16" s="259">
        <f>ROUND('Izglītojamie - ar projektu'!V54*(1-V9),0)</f>
        <v>0</v>
      </c>
      <c r="W16" s="259">
        <f>ROUND('Izglītojamie - ar projektu'!W54*(1-W9),0)</f>
        <v>0</v>
      </c>
      <c r="X16" s="259">
        <f>ROUND('Izglītojamie - ar projektu'!X54*(1-X9),0)</f>
        <v>0</v>
      </c>
      <c r="Y16" s="259">
        <f>ROUND('Izglītojamie - ar projektu'!Y54*(1-Y9),0)</f>
        <v>0</v>
      </c>
      <c r="Z16" s="259">
        <f>ROUND('Izglītojamie - ar projektu'!Z54*(1-Z9),0)</f>
        <v>0</v>
      </c>
      <c r="AA16" s="259">
        <f>ROUND('Izglītojamie - ar projektu'!AA54*(1-AA9),0)</f>
        <v>0</v>
      </c>
      <c r="AB16" s="259">
        <f>ROUND('Izglītojamie - ar projektu'!AB54*(1-AB9),0)</f>
        <v>0</v>
      </c>
      <c r="AC16" s="233"/>
      <c r="AD16" s="152"/>
    </row>
    <row r="17" spans="1:30" ht="25.5">
      <c r="A17" s="152"/>
      <c r="B17" s="152"/>
      <c r="C17" s="205" t="s">
        <v>57</v>
      </c>
      <c r="D17" s="230"/>
      <c r="E17" s="230"/>
      <c r="F17" s="233"/>
      <c r="G17" s="233"/>
      <c r="H17" s="259">
        <f>ROUND('Izglītojamie - ar projektu'!H55*(1-H10),0)</f>
        <v>0</v>
      </c>
      <c r="I17" s="259">
        <f>ROUND('Izglītojamie - ar projektu'!I55*(1-I10),0)</f>
        <v>0</v>
      </c>
      <c r="J17" s="259">
        <f>ROUND('Izglītojamie - ar projektu'!J55*(1-J10),0)</f>
        <v>0</v>
      </c>
      <c r="K17" s="259">
        <f>ROUND('Izglītojamie - ar projektu'!K55*(1-K10),0)</f>
        <v>0</v>
      </c>
      <c r="L17" s="259">
        <f>ROUND('Izglītojamie - ar projektu'!L55*(1-L10),0)</f>
        <v>0</v>
      </c>
      <c r="M17" s="259">
        <f>ROUND('Izglītojamie - ar projektu'!M55*(1-M10),0)</f>
        <v>0</v>
      </c>
      <c r="N17" s="259">
        <f>ROUND('Izglītojamie - ar projektu'!N55*(1-N10),0)</f>
        <v>0</v>
      </c>
      <c r="O17" s="259">
        <f>ROUND('Izglītojamie - ar projektu'!O55*(1-O10),0)</f>
        <v>0</v>
      </c>
      <c r="P17" s="259">
        <f>ROUND('Izglītojamie - ar projektu'!P55*(1-P10),0)</f>
        <v>0</v>
      </c>
      <c r="Q17" s="259">
        <f>ROUND('Izglītojamie - ar projektu'!Q55*(1-Q10),0)</f>
        <v>0</v>
      </c>
      <c r="R17" s="259">
        <f>ROUND('Izglītojamie - ar projektu'!R55*(1-R10),0)</f>
        <v>0</v>
      </c>
      <c r="S17" s="259">
        <f>ROUND('Izglītojamie - ar projektu'!S55*(1-S10),0)</f>
        <v>0</v>
      </c>
      <c r="T17" s="259">
        <f>ROUND('Izglītojamie - ar projektu'!T55*(1-T10),0)</f>
        <v>0</v>
      </c>
      <c r="U17" s="259">
        <f>ROUND('Izglītojamie - ar projektu'!U55*(1-U10),0)</f>
        <v>0</v>
      </c>
      <c r="V17" s="259">
        <f>ROUND('Izglītojamie - ar projektu'!V55*(1-V10),0)</f>
        <v>0</v>
      </c>
      <c r="W17" s="259">
        <f>ROUND('Izglītojamie - ar projektu'!W55*(1-W10),0)</f>
        <v>0</v>
      </c>
      <c r="X17" s="259">
        <f>ROUND('Izglītojamie - ar projektu'!X55*(1-X10),0)</f>
        <v>0</v>
      </c>
      <c r="Y17" s="259">
        <f>ROUND('Izglītojamie - ar projektu'!Y55*(1-Y10),0)</f>
        <v>0</v>
      </c>
      <c r="Z17" s="259">
        <f>ROUND('Izglītojamie - ar projektu'!Z55*(1-Z10),0)</f>
        <v>0</v>
      </c>
      <c r="AA17" s="259">
        <f>ROUND('Izglītojamie - ar projektu'!AA55*(1-AA10),0)</f>
        <v>0</v>
      </c>
      <c r="AB17" s="259">
        <f>ROUND('Izglītojamie - ar projektu'!AB55*(1-AB10),0)</f>
        <v>0</v>
      </c>
      <c r="AC17" s="233"/>
      <c r="AD17" s="152"/>
    </row>
    <row r="18" spans="1:30" ht="15">
      <c r="A18" s="152"/>
      <c r="B18" s="152"/>
      <c r="C18" s="241"/>
      <c r="D18" s="230"/>
      <c r="E18" s="230"/>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152"/>
    </row>
    <row r="19" spans="1:30" ht="15">
      <c r="A19" s="163" t="s">
        <v>321</v>
      </c>
      <c r="B19" s="163" t="s">
        <v>307</v>
      </c>
      <c r="C19" s="163"/>
      <c r="D19" s="228"/>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163"/>
    </row>
    <row r="20" spans="1:30" ht="15">
      <c r="A20" s="206"/>
      <c r="B20" s="206"/>
      <c r="C20" s="239" t="s">
        <v>606</v>
      </c>
      <c r="D20" s="229"/>
      <c r="E20" s="229"/>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06"/>
    </row>
    <row r="21" spans="1:30" ht="15">
      <c r="A21" s="152"/>
      <c r="B21" s="152"/>
      <c r="C21" s="204" t="s">
        <v>54</v>
      </c>
      <c r="D21" s="230"/>
      <c r="E21" s="166"/>
      <c r="F21" s="166"/>
      <c r="G21" s="266">
        <f>G7</f>
        <v>0.09447655052961162</v>
      </c>
      <c r="H21" s="266">
        <f>G21-Pieņēmumi!$F$12</f>
        <v>0.09102889547665047</v>
      </c>
      <c r="I21" s="266">
        <f>H21-Pieņēmumi!$F$12</f>
        <v>0.08758124042368931</v>
      </c>
      <c r="J21" s="266">
        <f>I21-Pieņēmumi!$F$12</f>
        <v>0.08413358537072815</v>
      </c>
      <c r="K21" s="266">
        <f>J21-Pieņēmumi!$F$12</f>
        <v>0.080685930317767</v>
      </c>
      <c r="L21" s="266">
        <f>K21-Pieņēmumi!$F$12</f>
        <v>0.07723827526480584</v>
      </c>
      <c r="M21" s="266">
        <f>L21-Pieņēmumi!$F$12</f>
        <v>0.07379062021184468</v>
      </c>
      <c r="N21" s="266">
        <f>M21-Pieņēmumi!$F$12</f>
        <v>0.07034296515888352</v>
      </c>
      <c r="O21" s="266">
        <f>N21-Pieņēmumi!$F$12</f>
        <v>0.06689531010592237</v>
      </c>
      <c r="P21" s="266">
        <f>O21-Pieņēmumi!$F$12</f>
        <v>0.06344765505296121</v>
      </c>
      <c r="Q21" s="507">
        <f>P21-Pieņēmumi!$F$12</f>
        <v>0.060000000000000046</v>
      </c>
      <c r="R21" s="447">
        <f aca="true" t="shared" si="3" ref="R21:Z21">Q21</f>
        <v>0.060000000000000046</v>
      </c>
      <c r="S21" s="447">
        <f t="shared" si="3"/>
        <v>0.060000000000000046</v>
      </c>
      <c r="T21" s="447">
        <f t="shared" si="3"/>
        <v>0.060000000000000046</v>
      </c>
      <c r="U21" s="447">
        <f t="shared" si="3"/>
        <v>0.060000000000000046</v>
      </c>
      <c r="V21" s="447">
        <f t="shared" si="3"/>
        <v>0.060000000000000046</v>
      </c>
      <c r="W21" s="447">
        <f t="shared" si="3"/>
        <v>0.060000000000000046</v>
      </c>
      <c r="X21" s="447">
        <f t="shared" si="3"/>
        <v>0.060000000000000046</v>
      </c>
      <c r="Y21" s="447">
        <f t="shared" si="3"/>
        <v>0.060000000000000046</v>
      </c>
      <c r="Z21" s="447">
        <f t="shared" si="3"/>
        <v>0.060000000000000046</v>
      </c>
      <c r="AA21" s="447">
        <f>Z21</f>
        <v>0.060000000000000046</v>
      </c>
      <c r="AB21" s="447">
        <f>AA21</f>
        <v>0.060000000000000046</v>
      </c>
      <c r="AC21" s="166"/>
      <c r="AD21" s="152"/>
    </row>
    <row r="22" spans="1:30" ht="25.5">
      <c r="A22" s="152"/>
      <c r="B22" s="152"/>
      <c r="C22" s="204" t="s">
        <v>55</v>
      </c>
      <c r="D22" s="230"/>
      <c r="E22" s="166"/>
      <c r="F22" s="166"/>
      <c r="G22" s="266">
        <f>G$21</f>
        <v>0.09447655052961162</v>
      </c>
      <c r="H22" s="266">
        <f aca="true" t="shared" si="4" ref="H22:W24">H$21</f>
        <v>0.09102889547665047</v>
      </c>
      <c r="I22" s="266">
        <f t="shared" si="4"/>
        <v>0.08758124042368931</v>
      </c>
      <c r="J22" s="266">
        <f t="shared" si="4"/>
        <v>0.08413358537072815</v>
      </c>
      <c r="K22" s="266">
        <f t="shared" si="4"/>
        <v>0.080685930317767</v>
      </c>
      <c r="L22" s="266">
        <f t="shared" si="4"/>
        <v>0.07723827526480584</v>
      </c>
      <c r="M22" s="266">
        <f t="shared" si="4"/>
        <v>0.07379062021184468</v>
      </c>
      <c r="N22" s="266">
        <f t="shared" si="4"/>
        <v>0.07034296515888352</v>
      </c>
      <c r="O22" s="266">
        <f t="shared" si="4"/>
        <v>0.06689531010592237</v>
      </c>
      <c r="P22" s="266">
        <f t="shared" si="4"/>
        <v>0.06344765505296121</v>
      </c>
      <c r="Q22" s="266">
        <f t="shared" si="4"/>
        <v>0.060000000000000046</v>
      </c>
      <c r="R22" s="447">
        <f t="shared" si="4"/>
        <v>0.060000000000000046</v>
      </c>
      <c r="S22" s="447">
        <f t="shared" si="4"/>
        <v>0.060000000000000046</v>
      </c>
      <c r="T22" s="447">
        <f t="shared" si="4"/>
        <v>0.060000000000000046</v>
      </c>
      <c r="U22" s="447">
        <f t="shared" si="4"/>
        <v>0.060000000000000046</v>
      </c>
      <c r="V22" s="447">
        <f t="shared" si="4"/>
        <v>0.060000000000000046</v>
      </c>
      <c r="W22" s="447">
        <f t="shared" si="4"/>
        <v>0.060000000000000046</v>
      </c>
      <c r="X22" s="447">
        <f aca="true" t="shared" si="5" ref="X22:AB24">X$21</f>
        <v>0.060000000000000046</v>
      </c>
      <c r="Y22" s="447">
        <f t="shared" si="5"/>
        <v>0.060000000000000046</v>
      </c>
      <c r="Z22" s="447">
        <f t="shared" si="5"/>
        <v>0.060000000000000046</v>
      </c>
      <c r="AA22" s="447">
        <f t="shared" si="5"/>
        <v>0.060000000000000046</v>
      </c>
      <c r="AB22" s="447">
        <f t="shared" si="5"/>
        <v>0.060000000000000046</v>
      </c>
      <c r="AC22" s="166"/>
      <c r="AD22" s="152"/>
    </row>
    <row r="23" spans="1:30" ht="25.5">
      <c r="A23" s="152"/>
      <c r="B23" s="152"/>
      <c r="C23" s="205" t="s">
        <v>56</v>
      </c>
      <c r="D23" s="230"/>
      <c r="E23" s="166"/>
      <c r="F23" s="166"/>
      <c r="G23" s="266">
        <f>G$21</f>
        <v>0.09447655052961162</v>
      </c>
      <c r="H23" s="266">
        <f t="shared" si="4"/>
        <v>0.09102889547665047</v>
      </c>
      <c r="I23" s="266">
        <f t="shared" si="4"/>
        <v>0.08758124042368931</v>
      </c>
      <c r="J23" s="266">
        <f t="shared" si="4"/>
        <v>0.08413358537072815</v>
      </c>
      <c r="K23" s="266">
        <f t="shared" si="4"/>
        <v>0.080685930317767</v>
      </c>
      <c r="L23" s="266">
        <f t="shared" si="4"/>
        <v>0.07723827526480584</v>
      </c>
      <c r="M23" s="266">
        <f t="shared" si="4"/>
        <v>0.07379062021184468</v>
      </c>
      <c r="N23" s="266">
        <f t="shared" si="4"/>
        <v>0.07034296515888352</v>
      </c>
      <c r="O23" s="266">
        <f t="shared" si="4"/>
        <v>0.06689531010592237</v>
      </c>
      <c r="P23" s="266">
        <f t="shared" si="4"/>
        <v>0.06344765505296121</v>
      </c>
      <c r="Q23" s="266">
        <f t="shared" si="4"/>
        <v>0.060000000000000046</v>
      </c>
      <c r="R23" s="447">
        <f t="shared" si="4"/>
        <v>0.060000000000000046</v>
      </c>
      <c r="S23" s="447">
        <f t="shared" si="4"/>
        <v>0.060000000000000046</v>
      </c>
      <c r="T23" s="447">
        <f t="shared" si="4"/>
        <v>0.060000000000000046</v>
      </c>
      <c r="U23" s="447">
        <f t="shared" si="4"/>
        <v>0.060000000000000046</v>
      </c>
      <c r="V23" s="447">
        <f t="shared" si="4"/>
        <v>0.060000000000000046</v>
      </c>
      <c r="W23" s="447">
        <f t="shared" si="4"/>
        <v>0.060000000000000046</v>
      </c>
      <c r="X23" s="447">
        <f t="shared" si="5"/>
        <v>0.060000000000000046</v>
      </c>
      <c r="Y23" s="447">
        <f t="shared" si="5"/>
        <v>0.060000000000000046</v>
      </c>
      <c r="Z23" s="447">
        <f t="shared" si="5"/>
        <v>0.060000000000000046</v>
      </c>
      <c r="AA23" s="447">
        <f t="shared" si="5"/>
        <v>0.060000000000000046</v>
      </c>
      <c r="AB23" s="447">
        <f t="shared" si="5"/>
        <v>0.060000000000000046</v>
      </c>
      <c r="AC23" s="166"/>
      <c r="AD23" s="152"/>
    </row>
    <row r="24" spans="1:30" ht="25.5">
      <c r="A24" s="152"/>
      <c r="B24" s="152"/>
      <c r="C24" s="205" t="s">
        <v>57</v>
      </c>
      <c r="D24" s="230"/>
      <c r="E24" s="166"/>
      <c r="F24" s="166"/>
      <c r="G24" s="266">
        <f>G$21</f>
        <v>0.09447655052961162</v>
      </c>
      <c r="H24" s="266">
        <f t="shared" si="4"/>
        <v>0.09102889547665047</v>
      </c>
      <c r="I24" s="266">
        <f t="shared" si="4"/>
        <v>0.08758124042368931</v>
      </c>
      <c r="J24" s="266">
        <f t="shared" si="4"/>
        <v>0.08413358537072815</v>
      </c>
      <c r="K24" s="266">
        <f t="shared" si="4"/>
        <v>0.080685930317767</v>
      </c>
      <c r="L24" s="266">
        <f t="shared" si="4"/>
        <v>0.07723827526480584</v>
      </c>
      <c r="M24" s="266">
        <f t="shared" si="4"/>
        <v>0.07379062021184468</v>
      </c>
      <c r="N24" s="266">
        <f t="shared" si="4"/>
        <v>0.07034296515888352</v>
      </c>
      <c r="O24" s="266">
        <f t="shared" si="4"/>
        <v>0.06689531010592237</v>
      </c>
      <c r="P24" s="266">
        <f t="shared" si="4"/>
        <v>0.06344765505296121</v>
      </c>
      <c r="Q24" s="266">
        <f t="shared" si="4"/>
        <v>0.060000000000000046</v>
      </c>
      <c r="R24" s="447">
        <f t="shared" si="4"/>
        <v>0.060000000000000046</v>
      </c>
      <c r="S24" s="447">
        <f t="shared" si="4"/>
        <v>0.060000000000000046</v>
      </c>
      <c r="T24" s="447">
        <f t="shared" si="4"/>
        <v>0.060000000000000046</v>
      </c>
      <c r="U24" s="447">
        <f t="shared" si="4"/>
        <v>0.060000000000000046</v>
      </c>
      <c r="V24" s="447">
        <f t="shared" si="4"/>
        <v>0.060000000000000046</v>
      </c>
      <c r="W24" s="447">
        <f t="shared" si="4"/>
        <v>0.060000000000000046</v>
      </c>
      <c r="X24" s="447">
        <f t="shared" si="5"/>
        <v>0.060000000000000046</v>
      </c>
      <c r="Y24" s="447">
        <f t="shared" si="5"/>
        <v>0.060000000000000046</v>
      </c>
      <c r="Z24" s="447">
        <f t="shared" si="5"/>
        <v>0.060000000000000046</v>
      </c>
      <c r="AA24" s="447">
        <f t="shared" si="5"/>
        <v>0.060000000000000046</v>
      </c>
      <c r="AB24" s="447">
        <f t="shared" si="5"/>
        <v>0.060000000000000046</v>
      </c>
      <c r="AC24" s="166"/>
      <c r="AD24" s="152"/>
    </row>
    <row r="25" spans="1:31" ht="15">
      <c r="A25" s="152"/>
      <c r="B25" s="152"/>
      <c r="C25" s="205"/>
      <c r="D25" s="230"/>
      <c r="E25" s="166"/>
      <c r="F25" s="1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row>
    <row r="26" spans="1:31" ht="15">
      <c r="A26" s="152"/>
      <c r="B26" s="152"/>
      <c r="C26" s="487" t="s">
        <v>666</v>
      </c>
      <c r="D26" s="230"/>
      <c r="E26" s="166"/>
      <c r="F26" s="1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row>
    <row r="27" spans="1:256" ht="15">
      <c r="A27" s="152"/>
      <c r="B27" s="152"/>
      <c r="C27" s="204" t="s">
        <v>54</v>
      </c>
      <c r="D27" s="230"/>
      <c r="E27" s="166"/>
      <c r="F27" s="166"/>
      <c r="G27" s="266">
        <f>AVERAGE(G21:J21)</f>
        <v>0.08930506795016988</v>
      </c>
      <c r="H27" s="266">
        <f aca="true" t="shared" si="6" ref="H27:W27">AVERAGE(H21:K21)</f>
        <v>0.08585741289720873</v>
      </c>
      <c r="I27" s="266">
        <f t="shared" si="6"/>
        <v>0.08240975784424759</v>
      </c>
      <c r="J27" s="266">
        <f t="shared" si="6"/>
        <v>0.07896210279128642</v>
      </c>
      <c r="K27" s="266">
        <f t="shared" si="6"/>
        <v>0.07551444773832526</v>
      </c>
      <c r="L27" s="266">
        <f t="shared" si="6"/>
        <v>0.0720667926853641</v>
      </c>
      <c r="M27" s="266">
        <f t="shared" si="6"/>
        <v>0.06861913763240295</v>
      </c>
      <c r="N27" s="266">
        <f t="shared" si="6"/>
        <v>0.06517148257944179</v>
      </c>
      <c r="O27" s="266">
        <f t="shared" si="6"/>
        <v>0.06258574128972091</v>
      </c>
      <c r="P27" s="266">
        <f t="shared" si="6"/>
        <v>0.06086191376324034</v>
      </c>
      <c r="Q27" s="266">
        <f t="shared" si="6"/>
        <v>0.060000000000000046</v>
      </c>
      <c r="R27" s="266">
        <f t="shared" si="6"/>
        <v>0.060000000000000046</v>
      </c>
      <c r="S27" s="266">
        <f t="shared" si="6"/>
        <v>0.060000000000000046</v>
      </c>
      <c r="T27" s="266">
        <f t="shared" si="6"/>
        <v>0.060000000000000046</v>
      </c>
      <c r="U27" s="266">
        <f t="shared" si="6"/>
        <v>0.060000000000000046</v>
      </c>
      <c r="V27" s="266">
        <f t="shared" si="6"/>
        <v>0.060000000000000046</v>
      </c>
      <c r="W27" s="266">
        <f t="shared" si="6"/>
        <v>0.060000000000000046</v>
      </c>
      <c r="X27" s="266">
        <f aca="true" t="shared" si="7" ref="X27:AB30">AVERAGE(X21:AC21)</f>
        <v>0.06000000000000004</v>
      </c>
      <c r="Y27" s="266">
        <f t="shared" si="7"/>
        <v>0.060000000000000046</v>
      </c>
      <c r="Z27" s="266">
        <f t="shared" si="7"/>
        <v>0.060000000000000046</v>
      </c>
      <c r="AA27" s="266">
        <f t="shared" si="7"/>
        <v>0.060000000000000046</v>
      </c>
      <c r="AB27" s="266">
        <f t="shared" si="7"/>
        <v>0.060000000000000046</v>
      </c>
      <c r="AC27" s="266"/>
      <c r="AD27" s="266"/>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c r="HB27" s="445"/>
      <c r="HC27" s="445"/>
      <c r="HD27" s="445"/>
      <c r="HE27" s="445"/>
      <c r="HF27" s="445"/>
      <c r="HG27" s="445"/>
      <c r="HH27" s="445"/>
      <c r="HI27" s="445"/>
      <c r="HJ27" s="445"/>
      <c r="HK27" s="445"/>
      <c r="HL27" s="445"/>
      <c r="HM27" s="445"/>
      <c r="HN27" s="445"/>
      <c r="HO27" s="445"/>
      <c r="HP27" s="445"/>
      <c r="HQ27" s="445"/>
      <c r="HR27" s="445"/>
      <c r="HS27" s="445"/>
      <c r="HT27" s="445"/>
      <c r="HU27" s="445"/>
      <c r="HV27" s="445"/>
      <c r="HW27" s="445"/>
      <c r="HX27" s="445"/>
      <c r="HY27" s="445"/>
      <c r="HZ27" s="445"/>
      <c r="IA27" s="445"/>
      <c r="IB27" s="445"/>
      <c r="IC27" s="445"/>
      <c r="ID27" s="445"/>
      <c r="IE27" s="445"/>
      <c r="IF27" s="445"/>
      <c r="IG27" s="445"/>
      <c r="IH27" s="445"/>
      <c r="II27" s="445"/>
      <c r="IJ27" s="445"/>
      <c r="IK27" s="445"/>
      <c r="IL27" s="445"/>
      <c r="IM27" s="445"/>
      <c r="IN27" s="445"/>
      <c r="IO27" s="445"/>
      <c r="IP27" s="445"/>
      <c r="IQ27" s="445"/>
      <c r="IR27" s="445"/>
      <c r="IS27" s="445"/>
      <c r="IT27" s="445"/>
      <c r="IU27" s="445"/>
      <c r="IV27" s="445"/>
    </row>
    <row r="28" spans="1:256" ht="25.5">
      <c r="A28" s="152"/>
      <c r="B28" s="152"/>
      <c r="C28" s="204" t="s">
        <v>55</v>
      </c>
      <c r="D28" s="230"/>
      <c r="E28" s="166"/>
      <c r="F28" s="166"/>
      <c r="G28" s="266">
        <f aca="true" t="shared" si="8" ref="G28:W28">AVERAGE(G22:J22)</f>
        <v>0.08930506795016988</v>
      </c>
      <c r="H28" s="266">
        <f t="shared" si="8"/>
        <v>0.08585741289720873</v>
      </c>
      <c r="I28" s="266">
        <f t="shared" si="8"/>
        <v>0.08240975784424759</v>
      </c>
      <c r="J28" s="266">
        <f t="shared" si="8"/>
        <v>0.07896210279128642</v>
      </c>
      <c r="K28" s="266">
        <f t="shared" si="8"/>
        <v>0.07551444773832526</v>
      </c>
      <c r="L28" s="266">
        <f t="shared" si="8"/>
        <v>0.0720667926853641</v>
      </c>
      <c r="M28" s="266">
        <f t="shared" si="8"/>
        <v>0.06861913763240295</v>
      </c>
      <c r="N28" s="266">
        <f t="shared" si="8"/>
        <v>0.06517148257944179</v>
      </c>
      <c r="O28" s="266">
        <f t="shared" si="8"/>
        <v>0.06258574128972091</v>
      </c>
      <c r="P28" s="266">
        <f t="shared" si="8"/>
        <v>0.06086191376324034</v>
      </c>
      <c r="Q28" s="266">
        <f t="shared" si="8"/>
        <v>0.060000000000000046</v>
      </c>
      <c r="R28" s="266">
        <f t="shared" si="8"/>
        <v>0.060000000000000046</v>
      </c>
      <c r="S28" s="266">
        <f t="shared" si="8"/>
        <v>0.060000000000000046</v>
      </c>
      <c r="T28" s="266">
        <f t="shared" si="8"/>
        <v>0.060000000000000046</v>
      </c>
      <c r="U28" s="266">
        <f t="shared" si="8"/>
        <v>0.060000000000000046</v>
      </c>
      <c r="V28" s="266">
        <f t="shared" si="8"/>
        <v>0.060000000000000046</v>
      </c>
      <c r="W28" s="266">
        <f t="shared" si="8"/>
        <v>0.060000000000000046</v>
      </c>
      <c r="X28" s="266">
        <f t="shared" si="7"/>
        <v>0.06000000000000004</v>
      </c>
      <c r="Y28" s="266">
        <f t="shared" si="7"/>
        <v>0.060000000000000046</v>
      </c>
      <c r="Z28" s="266">
        <f t="shared" si="7"/>
        <v>0.060000000000000046</v>
      </c>
      <c r="AA28" s="266">
        <f t="shared" si="7"/>
        <v>0.060000000000000046</v>
      </c>
      <c r="AB28" s="266">
        <f t="shared" si="7"/>
        <v>0.060000000000000046</v>
      </c>
      <c r="AC28" s="266"/>
      <c r="AD28" s="266"/>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c r="HB28" s="445"/>
      <c r="HC28" s="445"/>
      <c r="HD28" s="445"/>
      <c r="HE28" s="445"/>
      <c r="HF28" s="445"/>
      <c r="HG28" s="445"/>
      <c r="HH28" s="445"/>
      <c r="HI28" s="445"/>
      <c r="HJ28" s="445"/>
      <c r="HK28" s="445"/>
      <c r="HL28" s="445"/>
      <c r="HM28" s="445"/>
      <c r="HN28" s="445"/>
      <c r="HO28" s="445"/>
      <c r="HP28" s="445"/>
      <c r="HQ28" s="445"/>
      <c r="HR28" s="445"/>
      <c r="HS28" s="445"/>
      <c r="HT28" s="445"/>
      <c r="HU28" s="445"/>
      <c r="HV28" s="445"/>
      <c r="HW28" s="445"/>
      <c r="HX28" s="445"/>
      <c r="HY28" s="445"/>
      <c r="HZ28" s="445"/>
      <c r="IA28" s="445"/>
      <c r="IB28" s="445"/>
      <c r="IC28" s="445"/>
      <c r="ID28" s="445"/>
      <c r="IE28" s="445"/>
      <c r="IF28" s="445"/>
      <c r="IG28" s="445"/>
      <c r="IH28" s="445"/>
      <c r="II28" s="445"/>
      <c r="IJ28" s="445"/>
      <c r="IK28" s="445"/>
      <c r="IL28" s="445"/>
      <c r="IM28" s="445"/>
      <c r="IN28" s="445"/>
      <c r="IO28" s="445"/>
      <c r="IP28" s="445"/>
      <c r="IQ28" s="445"/>
      <c r="IR28" s="445"/>
      <c r="IS28" s="445"/>
      <c r="IT28" s="445"/>
      <c r="IU28" s="445"/>
      <c r="IV28" s="445"/>
    </row>
    <row r="29" spans="1:256" ht="25.5">
      <c r="A29" s="152"/>
      <c r="B29" s="152"/>
      <c r="C29" s="205" t="s">
        <v>56</v>
      </c>
      <c r="D29" s="230"/>
      <c r="E29" s="166"/>
      <c r="F29" s="166"/>
      <c r="G29" s="266">
        <f aca="true" t="shared" si="9" ref="G29:W29">AVERAGE(G23:J23)</f>
        <v>0.08930506795016988</v>
      </c>
      <c r="H29" s="266">
        <f t="shared" si="9"/>
        <v>0.08585741289720873</v>
      </c>
      <c r="I29" s="266">
        <f t="shared" si="9"/>
        <v>0.08240975784424759</v>
      </c>
      <c r="J29" s="266">
        <f t="shared" si="9"/>
        <v>0.07896210279128642</v>
      </c>
      <c r="K29" s="266">
        <f t="shared" si="9"/>
        <v>0.07551444773832526</v>
      </c>
      <c r="L29" s="266">
        <f t="shared" si="9"/>
        <v>0.0720667926853641</v>
      </c>
      <c r="M29" s="266">
        <f t="shared" si="9"/>
        <v>0.06861913763240295</v>
      </c>
      <c r="N29" s="266">
        <f t="shared" si="9"/>
        <v>0.06517148257944179</v>
      </c>
      <c r="O29" s="266">
        <f t="shared" si="9"/>
        <v>0.06258574128972091</v>
      </c>
      <c r="P29" s="266">
        <f t="shared" si="9"/>
        <v>0.06086191376324034</v>
      </c>
      <c r="Q29" s="266">
        <f t="shared" si="9"/>
        <v>0.060000000000000046</v>
      </c>
      <c r="R29" s="266">
        <f t="shared" si="9"/>
        <v>0.060000000000000046</v>
      </c>
      <c r="S29" s="266">
        <f t="shared" si="9"/>
        <v>0.060000000000000046</v>
      </c>
      <c r="T29" s="266">
        <f t="shared" si="9"/>
        <v>0.060000000000000046</v>
      </c>
      <c r="U29" s="266">
        <f t="shared" si="9"/>
        <v>0.060000000000000046</v>
      </c>
      <c r="V29" s="266">
        <f t="shared" si="9"/>
        <v>0.060000000000000046</v>
      </c>
      <c r="W29" s="266">
        <f t="shared" si="9"/>
        <v>0.060000000000000046</v>
      </c>
      <c r="X29" s="266">
        <f t="shared" si="7"/>
        <v>0.06000000000000004</v>
      </c>
      <c r="Y29" s="266">
        <f t="shared" si="7"/>
        <v>0.060000000000000046</v>
      </c>
      <c r="Z29" s="266">
        <f t="shared" si="7"/>
        <v>0.060000000000000046</v>
      </c>
      <c r="AA29" s="266">
        <f t="shared" si="7"/>
        <v>0.060000000000000046</v>
      </c>
      <c r="AB29" s="266">
        <f t="shared" si="7"/>
        <v>0.060000000000000046</v>
      </c>
      <c r="AC29" s="266"/>
      <c r="AD29" s="266"/>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c r="HM29" s="445"/>
      <c r="HN29" s="445"/>
      <c r="HO29" s="445"/>
      <c r="HP29" s="445"/>
      <c r="HQ29" s="445"/>
      <c r="HR29" s="445"/>
      <c r="HS29" s="445"/>
      <c r="HT29" s="445"/>
      <c r="HU29" s="445"/>
      <c r="HV29" s="445"/>
      <c r="HW29" s="445"/>
      <c r="HX29" s="445"/>
      <c r="HY29" s="445"/>
      <c r="HZ29" s="445"/>
      <c r="IA29" s="445"/>
      <c r="IB29" s="445"/>
      <c r="IC29" s="445"/>
      <c r="ID29" s="445"/>
      <c r="IE29" s="445"/>
      <c r="IF29" s="445"/>
      <c r="IG29" s="445"/>
      <c r="IH29" s="445"/>
      <c r="II29" s="445"/>
      <c r="IJ29" s="445"/>
      <c r="IK29" s="445"/>
      <c r="IL29" s="445"/>
      <c r="IM29" s="445"/>
      <c r="IN29" s="445"/>
      <c r="IO29" s="445"/>
      <c r="IP29" s="445"/>
      <c r="IQ29" s="445"/>
      <c r="IR29" s="445"/>
      <c r="IS29" s="445"/>
      <c r="IT29" s="445"/>
      <c r="IU29" s="445"/>
      <c r="IV29" s="445"/>
    </row>
    <row r="30" spans="1:256" ht="25.5">
      <c r="A30" s="152"/>
      <c r="B30" s="152"/>
      <c r="C30" s="205" t="s">
        <v>57</v>
      </c>
      <c r="D30" s="230"/>
      <c r="E30" s="166"/>
      <c r="F30" s="166"/>
      <c r="G30" s="266">
        <f aca="true" t="shared" si="10" ref="G30:W30">AVERAGE(G24:J24)</f>
        <v>0.08930506795016988</v>
      </c>
      <c r="H30" s="266">
        <f t="shared" si="10"/>
        <v>0.08585741289720873</v>
      </c>
      <c r="I30" s="266">
        <f t="shared" si="10"/>
        <v>0.08240975784424759</v>
      </c>
      <c r="J30" s="266">
        <f t="shared" si="10"/>
        <v>0.07896210279128642</v>
      </c>
      <c r="K30" s="266">
        <f t="shared" si="10"/>
        <v>0.07551444773832526</v>
      </c>
      <c r="L30" s="266">
        <f t="shared" si="10"/>
        <v>0.0720667926853641</v>
      </c>
      <c r="M30" s="266">
        <f t="shared" si="10"/>
        <v>0.06861913763240295</v>
      </c>
      <c r="N30" s="266">
        <f t="shared" si="10"/>
        <v>0.06517148257944179</v>
      </c>
      <c r="O30" s="266">
        <f t="shared" si="10"/>
        <v>0.06258574128972091</v>
      </c>
      <c r="P30" s="266">
        <f t="shared" si="10"/>
        <v>0.06086191376324034</v>
      </c>
      <c r="Q30" s="266">
        <f t="shared" si="10"/>
        <v>0.060000000000000046</v>
      </c>
      <c r="R30" s="266">
        <f t="shared" si="10"/>
        <v>0.060000000000000046</v>
      </c>
      <c r="S30" s="266">
        <f t="shared" si="10"/>
        <v>0.060000000000000046</v>
      </c>
      <c r="T30" s="266">
        <f t="shared" si="10"/>
        <v>0.060000000000000046</v>
      </c>
      <c r="U30" s="266">
        <f t="shared" si="10"/>
        <v>0.060000000000000046</v>
      </c>
      <c r="V30" s="266">
        <f t="shared" si="10"/>
        <v>0.060000000000000046</v>
      </c>
      <c r="W30" s="266">
        <f t="shared" si="10"/>
        <v>0.060000000000000046</v>
      </c>
      <c r="X30" s="266">
        <f t="shared" si="7"/>
        <v>0.06000000000000004</v>
      </c>
      <c r="Y30" s="266">
        <f t="shared" si="7"/>
        <v>0.060000000000000046</v>
      </c>
      <c r="Z30" s="266">
        <f t="shared" si="7"/>
        <v>0.060000000000000046</v>
      </c>
      <c r="AA30" s="266">
        <f t="shared" si="7"/>
        <v>0.060000000000000046</v>
      </c>
      <c r="AB30" s="266">
        <f t="shared" si="7"/>
        <v>0.060000000000000046</v>
      </c>
      <c r="AC30" s="266"/>
      <c r="AD30" s="266"/>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c r="HM30" s="445"/>
      <c r="HN30" s="445"/>
      <c r="HO30" s="445"/>
      <c r="HP30" s="445"/>
      <c r="HQ30" s="445"/>
      <c r="HR30" s="445"/>
      <c r="HS30" s="445"/>
      <c r="HT30" s="445"/>
      <c r="HU30" s="445"/>
      <c r="HV30" s="445"/>
      <c r="HW30" s="445"/>
      <c r="HX30" s="445"/>
      <c r="HY30" s="445"/>
      <c r="HZ30" s="445"/>
      <c r="IA30" s="445"/>
      <c r="IB30" s="445"/>
      <c r="IC30" s="445"/>
      <c r="ID30" s="445"/>
      <c r="IE30" s="445"/>
      <c r="IF30" s="445"/>
      <c r="IG30" s="445"/>
      <c r="IH30" s="445"/>
      <c r="II30" s="445"/>
      <c r="IJ30" s="445"/>
      <c r="IK30" s="445"/>
      <c r="IL30" s="445"/>
      <c r="IM30" s="445"/>
      <c r="IN30" s="445"/>
      <c r="IO30" s="445"/>
      <c r="IP30" s="445"/>
      <c r="IQ30" s="445"/>
      <c r="IR30" s="445"/>
      <c r="IS30" s="445"/>
      <c r="IT30" s="445"/>
      <c r="IU30" s="445"/>
      <c r="IV30" s="445"/>
    </row>
    <row r="31" spans="1:30" ht="15">
      <c r="A31" s="206"/>
      <c r="B31" s="206"/>
      <c r="C31" s="239" t="s">
        <v>293</v>
      </c>
      <c r="D31" s="229"/>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06"/>
    </row>
    <row r="32" spans="1:30" ht="15">
      <c r="A32" s="152"/>
      <c r="B32" s="152"/>
      <c r="C32" s="152"/>
      <c r="D32" s="230"/>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52"/>
    </row>
    <row r="33" spans="1:30" ht="15">
      <c r="A33" s="152"/>
      <c r="B33" s="152"/>
      <c r="C33" s="204" t="s">
        <v>54</v>
      </c>
      <c r="D33" s="230"/>
      <c r="E33" s="166"/>
      <c r="F33" s="166"/>
      <c r="G33" s="166"/>
      <c r="H33" s="277">
        <f>ROUND('Izglītojamie - ar projektu'!H52*(1-H27),0)</f>
        <v>0</v>
      </c>
      <c r="I33" s="277">
        <f>ROUND('Izglītojamie - ar projektu'!I52*(1-I27),0)</f>
        <v>0</v>
      </c>
      <c r="J33" s="277">
        <f>ROUND('Izglītojamie - ar projektu'!J52*(1-J27),0)</f>
        <v>0</v>
      </c>
      <c r="K33" s="277">
        <f>ROUND('Izglītojamie - ar projektu'!K52*(1-K27),0)</f>
        <v>0</v>
      </c>
      <c r="L33" s="277">
        <f>ROUND('Izglītojamie - ar projektu'!L52*(1-L27),0)</f>
        <v>0</v>
      </c>
      <c r="M33" s="277">
        <f>ROUND('Izglītojamie - ar projektu'!M52*(1-M27),0)</f>
        <v>0</v>
      </c>
      <c r="N33" s="277">
        <f>ROUND('Izglītojamie - ar projektu'!N52*(1-N27),0)</f>
        <v>0</v>
      </c>
      <c r="O33" s="277">
        <f>ROUND('Izglītojamie - ar projektu'!O52*(1-O27),0)</f>
        <v>0</v>
      </c>
      <c r="P33" s="277">
        <f>ROUND('Izglītojamie - ar projektu'!P52*(1-P27),0)</f>
        <v>0</v>
      </c>
      <c r="Q33" s="277">
        <f>ROUND('Izglītojamie - ar projektu'!Q52*(1-Q27),0)</f>
        <v>0</v>
      </c>
      <c r="R33" s="277">
        <f>ROUND('Izglītojamie - ar projektu'!R52*(1-R27),0)</f>
        <v>0</v>
      </c>
      <c r="S33" s="277">
        <f>ROUND('Izglītojamie - ar projektu'!S52*(1-S27),0)</f>
        <v>0</v>
      </c>
      <c r="T33" s="277">
        <f>ROUND('Izglītojamie - ar projektu'!T52*(1-T27),0)</f>
        <v>0</v>
      </c>
      <c r="U33" s="277">
        <f>ROUND('Izglītojamie - ar projektu'!U52*(1-U27),0)</f>
        <v>0</v>
      </c>
      <c r="V33" s="277">
        <f>ROUND('Izglītojamie - ar projektu'!V52*(1-V27),0)</f>
        <v>0</v>
      </c>
      <c r="W33" s="277">
        <f>ROUND('Izglītojamie - ar projektu'!W52*(1-W27),0)</f>
        <v>0</v>
      </c>
      <c r="X33" s="277">
        <f>ROUND('Izglītojamie - ar projektu'!X52*(1-X27),0)</f>
        <v>0</v>
      </c>
      <c r="Y33" s="277">
        <f>ROUND('Izglītojamie - ar projektu'!Y52*(1-Y27),0)</f>
        <v>0</v>
      </c>
      <c r="Z33" s="277">
        <f>ROUND('Izglītojamie - ar projektu'!Z52*(1-Z27),0)</f>
        <v>0</v>
      </c>
      <c r="AA33" s="277">
        <f>ROUND('Izglītojamie - ar projektu'!AA52*(1-AA27),0)</f>
        <v>0</v>
      </c>
      <c r="AB33" s="277">
        <f>ROUND('Izglītojamie - ar projektu'!AB52*(1-AB27),0)</f>
        <v>0</v>
      </c>
      <c r="AC33" s="166"/>
      <c r="AD33" s="152"/>
    </row>
    <row r="34" spans="1:30" ht="25.5">
      <c r="A34" s="152"/>
      <c r="B34" s="152"/>
      <c r="C34" s="204" t="s">
        <v>55</v>
      </c>
      <c r="D34" s="230"/>
      <c r="E34" s="166"/>
      <c r="F34" s="166"/>
      <c r="G34" s="166"/>
      <c r="H34" s="277">
        <f>ROUND('Izglītojamie - ar projektu'!H53*(1-H28),0)</f>
        <v>0</v>
      </c>
      <c r="I34" s="277">
        <f>ROUND('Izglītojamie - ar projektu'!I53*(1-I28),0)</f>
        <v>0</v>
      </c>
      <c r="J34" s="277">
        <f>ROUND('Izglītojamie - ar projektu'!J53*(1-J28),0)</f>
        <v>0</v>
      </c>
      <c r="K34" s="277">
        <f>ROUND('Izglītojamie - ar projektu'!K53*(1-K28),0)</f>
        <v>0</v>
      </c>
      <c r="L34" s="277">
        <f>ROUND('Izglītojamie - ar projektu'!L53*(1-L28),0)</f>
        <v>0</v>
      </c>
      <c r="M34" s="277">
        <f>ROUND('Izglītojamie - ar projektu'!M53*(1-M28),0)</f>
        <v>0</v>
      </c>
      <c r="N34" s="277">
        <f>ROUND('Izglītojamie - ar projektu'!N53*(1-N28),0)</f>
        <v>0</v>
      </c>
      <c r="O34" s="277">
        <f>ROUND('Izglītojamie - ar projektu'!O53*(1-O28),0)</f>
        <v>0</v>
      </c>
      <c r="P34" s="277">
        <f>ROUND('Izglītojamie - ar projektu'!P53*(1-P28),0)</f>
        <v>0</v>
      </c>
      <c r="Q34" s="277">
        <f>ROUND('Izglītojamie - ar projektu'!Q53*(1-Q28),0)</f>
        <v>0</v>
      </c>
      <c r="R34" s="277">
        <f>ROUND('Izglītojamie - ar projektu'!R53*(1-R28),0)</f>
        <v>0</v>
      </c>
      <c r="S34" s="277">
        <f>ROUND('Izglītojamie - ar projektu'!S53*(1-S28),0)</f>
        <v>0</v>
      </c>
      <c r="T34" s="277">
        <f>ROUND('Izglītojamie - ar projektu'!T53*(1-T28),0)</f>
        <v>0</v>
      </c>
      <c r="U34" s="277">
        <f>ROUND('Izglītojamie - ar projektu'!U53*(1-U28),0)</f>
        <v>0</v>
      </c>
      <c r="V34" s="277">
        <f>ROUND('Izglītojamie - ar projektu'!V53*(1-V28),0)</f>
        <v>0</v>
      </c>
      <c r="W34" s="277">
        <f>ROUND('Izglītojamie - ar projektu'!W53*(1-W28),0)</f>
        <v>0</v>
      </c>
      <c r="X34" s="277">
        <f>ROUND('Izglītojamie - ar projektu'!X53*(1-X28),0)</f>
        <v>0</v>
      </c>
      <c r="Y34" s="277">
        <f>ROUND('Izglītojamie - ar projektu'!Y53*(1-Y28),0)</f>
        <v>0</v>
      </c>
      <c r="Z34" s="277">
        <f>ROUND('Izglītojamie - ar projektu'!Z53*(1-Z28),0)</f>
        <v>0</v>
      </c>
      <c r="AA34" s="277">
        <f>ROUND('Izglītojamie - ar projektu'!AA53*(1-AA28),0)</f>
        <v>0</v>
      </c>
      <c r="AB34" s="277">
        <f>ROUND('Izglītojamie - ar projektu'!AB53*(1-AB28),0)</f>
        <v>0</v>
      </c>
      <c r="AC34" s="166"/>
      <c r="AD34" s="152"/>
    </row>
    <row r="35" spans="1:30" ht="25.5">
      <c r="A35" s="152"/>
      <c r="B35" s="152"/>
      <c r="C35" s="205" t="s">
        <v>56</v>
      </c>
      <c r="D35" s="230"/>
      <c r="E35" s="166"/>
      <c r="F35" s="166"/>
      <c r="G35" s="166"/>
      <c r="H35" s="277">
        <f>ROUND('Izglītojamie - ar projektu'!H54*(1-H29),0)</f>
        <v>0</v>
      </c>
      <c r="I35" s="277">
        <f>ROUND('Izglītojamie - ar projektu'!I54*(1-I29),0)</f>
        <v>0</v>
      </c>
      <c r="J35" s="277">
        <f>ROUND('Izglītojamie - ar projektu'!J54*(1-J29),0)</f>
        <v>0</v>
      </c>
      <c r="K35" s="277">
        <f>ROUND('Izglītojamie - ar projektu'!K54*(1-K29),0)</f>
        <v>0</v>
      </c>
      <c r="L35" s="277">
        <f>ROUND('Izglītojamie - ar projektu'!L54*(1-L29),0)</f>
        <v>0</v>
      </c>
      <c r="M35" s="277">
        <f>ROUND('Izglītojamie - ar projektu'!M54*(1-M29),0)</f>
        <v>0</v>
      </c>
      <c r="N35" s="277">
        <f>ROUND('Izglītojamie - ar projektu'!N54*(1-N29),0)</f>
        <v>0</v>
      </c>
      <c r="O35" s="277">
        <f>ROUND('Izglītojamie - ar projektu'!O54*(1-O29),0)</f>
        <v>0</v>
      </c>
      <c r="P35" s="277">
        <f>ROUND('Izglītojamie - ar projektu'!P54*(1-P29),0)</f>
        <v>0</v>
      </c>
      <c r="Q35" s="277">
        <f>ROUND('Izglītojamie - ar projektu'!Q54*(1-Q29),0)</f>
        <v>0</v>
      </c>
      <c r="R35" s="277">
        <f>ROUND('Izglītojamie - ar projektu'!R54*(1-R29),0)</f>
        <v>0</v>
      </c>
      <c r="S35" s="277">
        <f>ROUND('Izglītojamie - ar projektu'!S54*(1-S29),0)</f>
        <v>0</v>
      </c>
      <c r="T35" s="277">
        <f>ROUND('Izglītojamie - ar projektu'!T54*(1-T29),0)</f>
        <v>0</v>
      </c>
      <c r="U35" s="277">
        <f>ROUND('Izglītojamie - ar projektu'!U54*(1-U29),0)</f>
        <v>0</v>
      </c>
      <c r="V35" s="277">
        <f>ROUND('Izglītojamie - ar projektu'!V54*(1-V29),0)</f>
        <v>0</v>
      </c>
      <c r="W35" s="277">
        <f>ROUND('Izglītojamie - ar projektu'!W54*(1-W29),0)</f>
        <v>0</v>
      </c>
      <c r="X35" s="277">
        <f>ROUND('Izglītojamie - ar projektu'!X54*(1-X29),0)</f>
        <v>0</v>
      </c>
      <c r="Y35" s="277">
        <f>ROUND('Izglītojamie - ar projektu'!Y54*(1-Y29),0)</f>
        <v>0</v>
      </c>
      <c r="Z35" s="277">
        <f>ROUND('Izglītojamie - ar projektu'!Z54*(1-Z29),0)</f>
        <v>0</v>
      </c>
      <c r="AA35" s="277">
        <f>ROUND('Izglītojamie - ar projektu'!AA54*(1-AA29),0)</f>
        <v>0</v>
      </c>
      <c r="AB35" s="277">
        <f>ROUND('Izglītojamie - ar projektu'!AB54*(1-AB29),0)</f>
        <v>0</v>
      </c>
      <c r="AC35" s="166"/>
      <c r="AD35" s="152"/>
    </row>
    <row r="36" spans="1:30" ht="25.5">
      <c r="A36" s="152"/>
      <c r="B36" s="152"/>
      <c r="C36" s="205" t="s">
        <v>57</v>
      </c>
      <c r="D36" s="230"/>
      <c r="E36" s="166"/>
      <c r="F36" s="166"/>
      <c r="G36" s="166"/>
      <c r="H36" s="277">
        <f>ROUND('Izglītojamie - ar projektu'!H55*(1-H30),0)</f>
        <v>0</v>
      </c>
      <c r="I36" s="277">
        <f>ROUND('Izglītojamie - ar projektu'!I55*(1-I30),0)</f>
        <v>0</v>
      </c>
      <c r="J36" s="277">
        <f>ROUND('Izglītojamie - ar projektu'!J55*(1-J30),0)</f>
        <v>0</v>
      </c>
      <c r="K36" s="277">
        <f>ROUND('Izglītojamie - ar projektu'!K55*(1-K30),0)</f>
        <v>0</v>
      </c>
      <c r="L36" s="277">
        <f>ROUND('Izglītojamie - ar projektu'!L55*(1-L30),0)</f>
        <v>0</v>
      </c>
      <c r="M36" s="277">
        <f>ROUND('Izglītojamie - ar projektu'!M55*(1-M30),0)</f>
        <v>0</v>
      </c>
      <c r="N36" s="277">
        <f>ROUND('Izglītojamie - ar projektu'!N55*(1-N30),0)</f>
        <v>0</v>
      </c>
      <c r="O36" s="277">
        <f>ROUND('Izglītojamie - ar projektu'!O55*(1-O30),0)</f>
        <v>0</v>
      </c>
      <c r="P36" s="277">
        <f>ROUND('Izglītojamie - ar projektu'!P55*(1-P30),0)</f>
        <v>0</v>
      </c>
      <c r="Q36" s="277">
        <f>ROUND('Izglītojamie - ar projektu'!Q55*(1-Q30),0)</f>
        <v>0</v>
      </c>
      <c r="R36" s="277">
        <f>ROUND('Izglītojamie - ar projektu'!R55*(1-R30),0)</f>
        <v>0</v>
      </c>
      <c r="S36" s="277">
        <f>ROUND('Izglītojamie - ar projektu'!S55*(1-S30),0)</f>
        <v>0</v>
      </c>
      <c r="T36" s="277">
        <f>ROUND('Izglītojamie - ar projektu'!T55*(1-T30),0)</f>
        <v>0</v>
      </c>
      <c r="U36" s="277">
        <f>ROUND('Izglītojamie - ar projektu'!U55*(1-U30),0)</f>
        <v>0</v>
      </c>
      <c r="V36" s="277">
        <f>ROUND('Izglītojamie - ar projektu'!V55*(1-V30),0)</f>
        <v>0</v>
      </c>
      <c r="W36" s="277">
        <f>ROUND('Izglītojamie - ar projektu'!W55*(1-W30),0)</f>
        <v>0</v>
      </c>
      <c r="X36" s="277">
        <f>ROUND('Izglītojamie - ar projektu'!X55*(1-X30),0)</f>
        <v>0</v>
      </c>
      <c r="Y36" s="277">
        <f>ROUND('Izglītojamie - ar projektu'!Y55*(1-Y30),0)</f>
        <v>0</v>
      </c>
      <c r="Z36" s="277">
        <f>ROUND('Izglītojamie - ar projektu'!Z55*(1-Z30),0)</f>
        <v>0</v>
      </c>
      <c r="AA36" s="277">
        <f>ROUND('Izglītojamie - ar projektu'!AA55*(1-AA30),0)</f>
        <v>0</v>
      </c>
      <c r="AB36" s="277">
        <f>ROUND('Izglītojamie - ar projektu'!AB55*(1-AB30),0)</f>
        <v>0</v>
      </c>
      <c r="AC36" s="166"/>
      <c r="AD36" s="152"/>
    </row>
    <row r="37" spans="1:30" ht="15">
      <c r="A37" s="152"/>
      <c r="B37" s="152"/>
      <c r="C37" s="152"/>
      <c r="D37" s="230"/>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52"/>
    </row>
    <row r="38" spans="1:30" s="446" customFormat="1" ht="12.75">
      <c r="A38" s="206"/>
      <c r="B38" s="206"/>
      <c r="C38" s="206" t="s">
        <v>270</v>
      </c>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row>
    <row r="39" spans="1:30" s="215" customFormat="1" ht="12.75">
      <c r="A39" s="152"/>
      <c r="B39" s="152"/>
      <c r="C39" s="175" t="s">
        <v>54</v>
      </c>
      <c r="D39" s="152" t="s">
        <v>52</v>
      </c>
      <c r="E39" s="152"/>
      <c r="F39" s="152"/>
      <c r="G39" s="243">
        <v>2022</v>
      </c>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1:30" s="215" customFormat="1" ht="12.75">
      <c r="A40" s="152"/>
      <c r="B40" s="152"/>
      <c r="C40" s="175" t="s">
        <v>55</v>
      </c>
      <c r="D40" s="152" t="s">
        <v>52</v>
      </c>
      <c r="E40" s="152"/>
      <c r="F40" s="152"/>
      <c r="G40" s="243">
        <v>2022</v>
      </c>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1:30" s="215" customFormat="1" ht="12.75">
      <c r="A41" s="152"/>
      <c r="B41" s="152"/>
      <c r="C41" s="175" t="s">
        <v>56</v>
      </c>
      <c r="D41" s="152" t="s">
        <v>52</v>
      </c>
      <c r="E41" s="152"/>
      <c r="F41" s="152"/>
      <c r="G41" s="243">
        <v>2022</v>
      </c>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s="215" customFormat="1" ht="12.75">
      <c r="A42" s="152"/>
      <c r="B42" s="152"/>
      <c r="C42" s="175" t="s">
        <v>57</v>
      </c>
      <c r="D42" s="152" t="s">
        <v>52</v>
      </c>
      <c r="E42" s="152"/>
      <c r="F42" s="152"/>
      <c r="G42" s="243">
        <v>2022</v>
      </c>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30" s="215" customFormat="1" ht="12.7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s="446" customFormat="1" ht="12.75">
      <c r="A44" s="206"/>
      <c r="B44" s="206"/>
      <c r="C44" s="206" t="s">
        <v>592</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row>
    <row r="45" spans="1:30" s="215" customFormat="1" ht="12.7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1:30" s="215" customFormat="1" ht="12.75">
      <c r="A46" s="152"/>
      <c r="B46" s="152"/>
      <c r="C46" s="207"/>
      <c r="D46" s="152"/>
      <c r="E46" s="152"/>
      <c r="F46" s="152"/>
      <c r="G46" s="166"/>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1:30" s="215" customFormat="1" ht="12.75">
      <c r="A47" s="152"/>
      <c r="B47" s="152"/>
      <c r="C47" s="174" t="str">
        <f>1!C33</f>
        <v>Izglītības tematiskā joma „mākslas” (radošās industrijas): izglītības klasifikācijas koda 3. un 4.cipars: 21</v>
      </c>
      <c r="D47" s="152" t="s">
        <v>152</v>
      </c>
      <c r="E47" s="152"/>
      <c r="F47" s="152"/>
      <c r="G47" s="166"/>
      <c r="H47" s="477">
        <f>(H33-H14)*$G39</f>
        <v>0</v>
      </c>
      <c r="I47" s="477">
        <f aca="true" t="shared" si="11" ref="I47:Z47">(I33-I14)*$G39</f>
        <v>0</v>
      </c>
      <c r="J47" s="477">
        <f t="shared" si="11"/>
        <v>0</v>
      </c>
      <c r="K47" s="477">
        <f t="shared" si="11"/>
        <v>0</v>
      </c>
      <c r="L47" s="477">
        <f t="shared" si="11"/>
        <v>0</v>
      </c>
      <c r="M47" s="477">
        <f t="shared" si="11"/>
        <v>0</v>
      </c>
      <c r="N47" s="477">
        <f t="shared" si="11"/>
        <v>0</v>
      </c>
      <c r="O47" s="477">
        <f t="shared" si="11"/>
        <v>0</v>
      </c>
      <c r="P47" s="477">
        <f t="shared" si="11"/>
        <v>0</v>
      </c>
      <c r="Q47" s="477">
        <f t="shared" si="11"/>
        <v>0</v>
      </c>
      <c r="R47" s="477">
        <f t="shared" si="11"/>
        <v>0</v>
      </c>
      <c r="S47" s="477">
        <f t="shared" si="11"/>
        <v>0</v>
      </c>
      <c r="T47" s="477">
        <f t="shared" si="11"/>
        <v>0</v>
      </c>
      <c r="U47" s="477">
        <f t="shared" si="11"/>
        <v>0</v>
      </c>
      <c r="V47" s="477">
        <f t="shared" si="11"/>
        <v>0</v>
      </c>
      <c r="W47" s="477">
        <f t="shared" si="11"/>
        <v>0</v>
      </c>
      <c r="X47" s="477">
        <f t="shared" si="11"/>
        <v>0</v>
      </c>
      <c r="Y47" s="477">
        <f t="shared" si="11"/>
        <v>0</v>
      </c>
      <c r="Z47" s="477">
        <f t="shared" si="11"/>
        <v>0</v>
      </c>
      <c r="AA47" s="477">
        <f aca="true" t="shared" si="12" ref="AA47:AB50">(AA33-AA14)*$G39</f>
        <v>0</v>
      </c>
      <c r="AB47" s="477">
        <f>(AB33-AB14)*$G39</f>
        <v>0</v>
      </c>
      <c r="AC47" s="152"/>
      <c r="AD47" s="152"/>
    </row>
    <row r="48" spans="1:30" s="215" customFormat="1" ht="25.5">
      <c r="A48" s="152"/>
      <c r="B48" s="152"/>
      <c r="C48" s="174" t="str">
        <f>1!C34</f>
        <v>Izglītības programmu grupas ar šādu izglītības klasifikācijas koda 3., 4. un 5.ciparu: “521”; “522”; “523”; “524”; “525”; “541”; “542”; “543”; “545” vai “582”:  </v>
      </c>
      <c r="D48" s="152" t="s">
        <v>152</v>
      </c>
      <c r="E48" s="152"/>
      <c r="F48" s="152"/>
      <c r="G48" s="166"/>
      <c r="H48" s="477">
        <f aca="true" t="shared" si="13" ref="H48:Z48">(H34-H15)*$G40</f>
        <v>0</v>
      </c>
      <c r="I48" s="477">
        <f t="shared" si="13"/>
        <v>0</v>
      </c>
      <c r="J48" s="477">
        <f t="shared" si="13"/>
        <v>0</v>
      </c>
      <c r="K48" s="477">
        <f t="shared" si="13"/>
        <v>0</v>
      </c>
      <c r="L48" s="477">
        <f t="shared" si="13"/>
        <v>0</v>
      </c>
      <c r="M48" s="477">
        <f t="shared" si="13"/>
        <v>0</v>
      </c>
      <c r="N48" s="477">
        <f t="shared" si="13"/>
        <v>0</v>
      </c>
      <c r="O48" s="477">
        <f t="shared" si="13"/>
        <v>0</v>
      </c>
      <c r="P48" s="477">
        <f t="shared" si="13"/>
        <v>0</v>
      </c>
      <c r="Q48" s="477">
        <f t="shared" si="13"/>
        <v>0</v>
      </c>
      <c r="R48" s="477">
        <f t="shared" si="13"/>
        <v>0</v>
      </c>
      <c r="S48" s="477">
        <f t="shared" si="13"/>
        <v>0</v>
      </c>
      <c r="T48" s="477">
        <f t="shared" si="13"/>
        <v>0</v>
      </c>
      <c r="U48" s="477">
        <f t="shared" si="13"/>
        <v>0</v>
      </c>
      <c r="V48" s="477">
        <f t="shared" si="13"/>
        <v>0</v>
      </c>
      <c r="W48" s="477">
        <f t="shared" si="13"/>
        <v>0</v>
      </c>
      <c r="X48" s="477">
        <f t="shared" si="13"/>
        <v>0</v>
      </c>
      <c r="Y48" s="477">
        <f t="shared" si="13"/>
        <v>0</v>
      </c>
      <c r="Z48" s="477">
        <f t="shared" si="13"/>
        <v>0</v>
      </c>
      <c r="AA48" s="477">
        <f t="shared" si="12"/>
        <v>0</v>
      </c>
      <c r="AB48" s="477">
        <f>(AB34-AB15)*$G40</f>
        <v>0</v>
      </c>
      <c r="AC48" s="152"/>
      <c r="AD48" s="152"/>
    </row>
    <row r="49" spans="1:30" s="215" customFormat="1" ht="25.5">
      <c r="A49" s="152"/>
      <c r="B49" s="152"/>
      <c r="C49" s="174" t="str">
        <f>1!C35</f>
        <v>Izglītības programmu grupa  "lauksaimniecība", "mežsaimniecība", "zivjsaimniecība" vai "veterinārija" (izglītības klasifikācijas koda 3. un 4.cipars "62" vai "64")  </v>
      </c>
      <c r="D49" s="152" t="s">
        <v>152</v>
      </c>
      <c r="E49" s="152"/>
      <c r="F49" s="152"/>
      <c r="G49" s="166"/>
      <c r="H49" s="477">
        <f aca="true" t="shared" si="14" ref="H49:Z49">(H35-H16)*$G41</f>
        <v>0</v>
      </c>
      <c r="I49" s="477">
        <f t="shared" si="14"/>
        <v>0</v>
      </c>
      <c r="J49" s="477">
        <f t="shared" si="14"/>
        <v>0</v>
      </c>
      <c r="K49" s="477">
        <f t="shared" si="14"/>
        <v>0</v>
      </c>
      <c r="L49" s="477">
        <f t="shared" si="14"/>
        <v>0</v>
      </c>
      <c r="M49" s="477">
        <f t="shared" si="14"/>
        <v>0</v>
      </c>
      <c r="N49" s="477">
        <f t="shared" si="14"/>
        <v>0</v>
      </c>
      <c r="O49" s="477">
        <f t="shared" si="14"/>
        <v>0</v>
      </c>
      <c r="P49" s="477">
        <f t="shared" si="14"/>
        <v>0</v>
      </c>
      <c r="Q49" s="477">
        <f t="shared" si="14"/>
        <v>0</v>
      </c>
      <c r="R49" s="477">
        <f t="shared" si="14"/>
        <v>0</v>
      </c>
      <c r="S49" s="477">
        <f t="shared" si="14"/>
        <v>0</v>
      </c>
      <c r="T49" s="477">
        <f t="shared" si="14"/>
        <v>0</v>
      </c>
      <c r="U49" s="477">
        <f t="shared" si="14"/>
        <v>0</v>
      </c>
      <c r="V49" s="477">
        <f t="shared" si="14"/>
        <v>0</v>
      </c>
      <c r="W49" s="477">
        <f t="shared" si="14"/>
        <v>0</v>
      </c>
      <c r="X49" s="477">
        <f t="shared" si="14"/>
        <v>0</v>
      </c>
      <c r="Y49" s="477">
        <f t="shared" si="14"/>
        <v>0</v>
      </c>
      <c r="Z49" s="477">
        <f t="shared" si="14"/>
        <v>0</v>
      </c>
      <c r="AA49" s="477">
        <f t="shared" si="12"/>
        <v>0</v>
      </c>
      <c r="AB49" s="477">
        <f>(AB35-AB16)*$G41</f>
        <v>0</v>
      </c>
      <c r="AC49" s="152"/>
      <c r="AD49" s="152"/>
    </row>
    <row r="50" spans="1:30" s="215" customFormat="1" ht="25.5">
      <c r="A50" s="152"/>
      <c r="B50" s="152"/>
      <c r="C50" s="174" t="str">
        <f>1!C36</f>
        <v>Izglītības programmu grupa: "viesnīcu un restorānu paklapojumi"  ,  "tūrisma un atpūtas organizācija" (izglītības klasifikācijas koda 3., 4. un 5.cipars "811"  vai "812") </v>
      </c>
      <c r="D50" s="152" t="s">
        <v>152</v>
      </c>
      <c r="E50" s="152"/>
      <c r="F50" s="152"/>
      <c r="G50" s="166"/>
      <c r="H50" s="477">
        <f aca="true" t="shared" si="15" ref="H50:Z50">(H36-H17)*$G42</f>
        <v>0</v>
      </c>
      <c r="I50" s="477">
        <f t="shared" si="15"/>
        <v>0</v>
      </c>
      <c r="J50" s="477">
        <f t="shared" si="15"/>
        <v>0</v>
      </c>
      <c r="K50" s="477">
        <f t="shared" si="15"/>
        <v>0</v>
      </c>
      <c r="L50" s="477">
        <f t="shared" si="15"/>
        <v>0</v>
      </c>
      <c r="M50" s="477">
        <f t="shared" si="15"/>
        <v>0</v>
      </c>
      <c r="N50" s="477">
        <f t="shared" si="15"/>
        <v>0</v>
      </c>
      <c r="O50" s="477">
        <f t="shared" si="15"/>
        <v>0</v>
      </c>
      <c r="P50" s="477">
        <f t="shared" si="15"/>
        <v>0</v>
      </c>
      <c r="Q50" s="477">
        <f t="shared" si="15"/>
        <v>0</v>
      </c>
      <c r="R50" s="477">
        <f t="shared" si="15"/>
        <v>0</v>
      </c>
      <c r="S50" s="477">
        <f t="shared" si="15"/>
        <v>0</v>
      </c>
      <c r="T50" s="477">
        <f t="shared" si="15"/>
        <v>0</v>
      </c>
      <c r="U50" s="477">
        <f t="shared" si="15"/>
        <v>0</v>
      </c>
      <c r="V50" s="477">
        <f t="shared" si="15"/>
        <v>0</v>
      </c>
      <c r="W50" s="477">
        <f t="shared" si="15"/>
        <v>0</v>
      </c>
      <c r="X50" s="477">
        <f t="shared" si="15"/>
        <v>0</v>
      </c>
      <c r="Y50" s="477">
        <f t="shared" si="15"/>
        <v>0</v>
      </c>
      <c r="Z50" s="477">
        <f t="shared" si="15"/>
        <v>0</v>
      </c>
      <c r="AA50" s="477">
        <f t="shared" si="12"/>
        <v>0</v>
      </c>
      <c r="AB50" s="477">
        <f>(AB36-AB17)*$G42</f>
        <v>0</v>
      </c>
      <c r="AC50" s="152"/>
      <c r="AD50" s="152"/>
    </row>
    <row r="51" spans="1:30" s="215" customFormat="1" ht="12.75">
      <c r="A51" s="152"/>
      <c r="B51" s="152"/>
      <c r="C51" s="152"/>
      <c r="D51" s="152"/>
      <c r="E51" s="152"/>
      <c r="F51" s="152"/>
      <c r="G51" s="166"/>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s="215" customFormat="1" ht="12.75">
      <c r="A52" s="152"/>
      <c r="B52" s="152"/>
      <c r="C52" s="207" t="s">
        <v>268</v>
      </c>
      <c r="D52" s="152"/>
      <c r="E52" s="152"/>
      <c r="F52" s="152"/>
      <c r="G52" s="166"/>
      <c r="H52" s="209">
        <f>SUM(H47:H50)*1!H4</f>
        <v>0</v>
      </c>
      <c r="I52" s="209">
        <f>SUM(I47:I50)*1!I4</f>
        <v>0</v>
      </c>
      <c r="J52" s="209">
        <f>SUM(J47:J50)*1!J4</f>
        <v>0</v>
      </c>
      <c r="K52" s="209">
        <f>SUM(K47:K50)*1!K4</f>
        <v>0</v>
      </c>
      <c r="L52" s="209">
        <f>SUM(L47:L50)*1!L4</f>
        <v>0</v>
      </c>
      <c r="M52" s="209">
        <f>SUM(M47:M50)*1!M4</f>
        <v>0</v>
      </c>
      <c r="N52" s="209">
        <f>SUM(N47:N50)*1!N4</f>
        <v>0</v>
      </c>
      <c r="O52" s="209">
        <f>SUM(O47:O50)*1!O4</f>
        <v>0</v>
      </c>
      <c r="P52" s="209">
        <f>SUM(P47:P50)*1!P4</f>
        <v>0</v>
      </c>
      <c r="Q52" s="209">
        <f>SUM(Q47:Q50)*1!Q4</f>
        <v>0</v>
      </c>
      <c r="R52" s="209">
        <f>SUM(R47:R50)*1!R4</f>
        <v>0</v>
      </c>
      <c r="S52" s="209">
        <f>SUM(S47:S50)*1!S4</f>
        <v>0</v>
      </c>
      <c r="T52" s="209">
        <f>SUM(T47:T50)*1!T4</f>
        <v>0</v>
      </c>
      <c r="U52" s="209">
        <f>SUM(U47:U50)*1!U4</f>
        <v>0</v>
      </c>
      <c r="V52" s="209">
        <f>SUM(V47:V50)*1!V4</f>
        <v>0</v>
      </c>
      <c r="W52" s="209">
        <f>SUM(W47:W50)*1!W4</f>
        <v>0</v>
      </c>
      <c r="X52" s="209">
        <f>SUM(X47:X50)*1!X4</f>
        <v>0</v>
      </c>
      <c r="Y52" s="209">
        <f>SUM(Y47:Y50)*1!Y4</f>
        <v>0</v>
      </c>
      <c r="Z52" s="209">
        <f>SUM(Z47:Z50)*1!Z4</f>
        <v>0</v>
      </c>
      <c r="AA52" s="209">
        <f>SUM(AA47:AA50)*1!AA4</f>
        <v>0</v>
      </c>
      <c r="AB52" s="209">
        <f>SUM(AB47:AB50)*1!AB4</f>
        <v>0</v>
      </c>
      <c r="AC52" s="152"/>
      <c r="AD52" s="152"/>
    </row>
    <row r="53" ht="15">
      <c r="G53" s="166"/>
    </row>
    <row r="54" spans="1:30" ht="15">
      <c r="A54" s="152"/>
      <c r="B54" s="152"/>
      <c r="C54" s="152"/>
      <c r="D54" s="230"/>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52"/>
    </row>
    <row r="55" ht="15">
      <c r="G55" s="166"/>
    </row>
    <row r="56" ht="15">
      <c r="G56" s="166"/>
    </row>
    <row r="57" ht="15">
      <c r="G57" s="166"/>
    </row>
    <row r="58" ht="15">
      <c r="G58" s="166"/>
    </row>
    <row r="234" spans="26:28" ht="15">
      <c r="Z234">
        <f>SUM(Z208,Z224,Z233)*1!Z$4</f>
        <v>0</v>
      </c>
      <c r="AA234">
        <f>SUM(AA208,AA224,AA233)*1!AA$4</f>
        <v>0</v>
      </c>
      <c r="AB234">
        <f>SUM(AB208,AB224,AB233)*1!AB$4</f>
        <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0F0F0"/>
  </sheetPr>
  <dimension ref="A1:IV230"/>
  <sheetViews>
    <sheetView zoomScale="55" zoomScaleNormal="55" zoomScalePageLayoutView="0" workbookViewId="0" topLeftCell="G2">
      <selection activeCell="AA32" sqref="AA32"/>
    </sheetView>
  </sheetViews>
  <sheetFormatPr defaultColWidth="9.00390625" defaultRowHeight="15.75"/>
  <cols>
    <col min="1" max="1" width="2.125" style="265" bestFit="1" customWidth="1"/>
    <col min="2" max="2" width="3.875" style="265" customWidth="1"/>
    <col min="3" max="3" width="76.25390625" style="265" bestFit="1" customWidth="1"/>
    <col min="4" max="4" width="5.50390625" style="265" bestFit="1" customWidth="1"/>
    <col min="5" max="5" width="10.875" style="265" hidden="1" customWidth="1"/>
    <col min="6" max="6" width="13.00390625" style="265" customWidth="1"/>
    <col min="7" max="7" width="12.875" style="265" customWidth="1"/>
    <col min="8" max="8" width="8.25390625" style="265" customWidth="1"/>
    <col min="9" max="9" width="12.50390625" style="265" customWidth="1"/>
    <col min="10" max="10" width="7.125" style="265" customWidth="1"/>
    <col min="11" max="27" width="10.125" style="265" customWidth="1"/>
    <col min="28" max="16384" width="8.75390625" style="265" customWidth="1"/>
  </cols>
  <sheetData>
    <row r="1" spans="1:28" s="275" customFormat="1" ht="12.75" hidden="1">
      <c r="A1" s="402"/>
      <c r="B1" s="403"/>
      <c r="C1" s="402"/>
      <c r="D1" s="402"/>
      <c r="E1" s="402"/>
      <c r="F1" s="402"/>
      <c r="G1" s="404"/>
      <c r="H1" s="404"/>
      <c r="I1" s="404"/>
      <c r="J1" s="404"/>
      <c r="K1" s="404"/>
      <c r="L1" s="404"/>
      <c r="M1" s="404"/>
      <c r="N1" s="404"/>
      <c r="O1" s="404"/>
      <c r="P1" s="404"/>
      <c r="Q1" s="404"/>
      <c r="R1" s="404"/>
      <c r="S1" s="404"/>
      <c r="T1" s="404"/>
      <c r="U1" s="404"/>
      <c r="V1" s="404"/>
      <c r="W1" s="404"/>
      <c r="X1" s="404"/>
      <c r="Y1" s="404"/>
      <c r="Z1" s="404"/>
      <c r="AA1" s="404"/>
      <c r="AB1" s="404"/>
    </row>
    <row r="2" spans="1:28" s="275" customFormat="1" ht="12.75">
      <c r="A2" s="405"/>
      <c r="B2" s="403"/>
      <c r="C2" s="404"/>
      <c r="D2" s="404"/>
      <c r="E2" s="404"/>
      <c r="F2" s="404"/>
      <c r="G2" s="404">
        <v>0</v>
      </c>
      <c r="H2" s="404">
        <v>1</v>
      </c>
      <c r="I2" s="404">
        <v>2</v>
      </c>
      <c r="J2" s="404">
        <v>3</v>
      </c>
      <c r="K2" s="404">
        <v>4</v>
      </c>
      <c r="L2" s="404">
        <v>5</v>
      </c>
      <c r="M2" s="404">
        <v>6</v>
      </c>
      <c r="N2" s="404">
        <v>7</v>
      </c>
      <c r="O2" s="404">
        <v>8</v>
      </c>
      <c r="P2" s="404">
        <v>9</v>
      </c>
      <c r="Q2" s="404">
        <v>10</v>
      </c>
      <c r="R2" s="404">
        <v>11</v>
      </c>
      <c r="S2" s="404">
        <v>12</v>
      </c>
      <c r="T2" s="404">
        <v>13</v>
      </c>
      <c r="U2" s="404">
        <v>14</v>
      </c>
      <c r="V2" s="404">
        <v>15</v>
      </c>
      <c r="W2" s="404">
        <v>16</v>
      </c>
      <c r="X2" s="404">
        <v>17</v>
      </c>
      <c r="Y2" s="404">
        <v>18</v>
      </c>
      <c r="Z2" s="404">
        <v>19</v>
      </c>
      <c r="AA2" s="404">
        <v>20</v>
      </c>
      <c r="AB2" s="404"/>
    </row>
    <row r="3" spans="1:28" s="409" customFormat="1" ht="12.75">
      <c r="A3" s="402" t="str">
        <f>Dati!B1</f>
        <v>Profesionālās izglītības vai profesionālās kultūrizglītības iestādes (PII) nosaukums</v>
      </c>
      <c r="B3" s="403"/>
      <c r="C3" s="402"/>
      <c r="D3" s="402" t="s">
        <v>3</v>
      </c>
      <c r="E3" s="402"/>
      <c r="F3" s="402"/>
      <c r="G3" s="406">
        <v>2016</v>
      </c>
      <c r="H3" s="407">
        <v>2017</v>
      </c>
      <c r="I3" s="407">
        <v>2018</v>
      </c>
      <c r="J3" s="407">
        <v>2019</v>
      </c>
      <c r="K3" s="407">
        <v>2020</v>
      </c>
      <c r="L3" s="408">
        <v>2021</v>
      </c>
      <c r="M3" s="408">
        <v>2022</v>
      </c>
      <c r="N3" s="408">
        <v>2023</v>
      </c>
      <c r="O3" s="408">
        <v>2024</v>
      </c>
      <c r="P3" s="408">
        <v>2025</v>
      </c>
      <c r="Q3" s="408">
        <v>2026</v>
      </c>
      <c r="R3" s="408">
        <v>2027</v>
      </c>
      <c r="S3" s="408">
        <v>2028</v>
      </c>
      <c r="T3" s="408">
        <v>2029</v>
      </c>
      <c r="U3" s="408">
        <v>2030</v>
      </c>
      <c r="V3" s="408">
        <v>2031</v>
      </c>
      <c r="W3" s="408">
        <v>2032</v>
      </c>
      <c r="X3" s="408">
        <v>2033</v>
      </c>
      <c r="Y3" s="408">
        <v>2034</v>
      </c>
      <c r="Z3" s="408">
        <v>2035</v>
      </c>
      <c r="AA3" s="408">
        <v>2036</v>
      </c>
      <c r="AB3" s="406" t="s">
        <v>21</v>
      </c>
    </row>
    <row r="4" spans="1:29" ht="15">
      <c r="A4" s="262" t="s">
        <v>151</v>
      </c>
      <c r="B4" s="262" t="s">
        <v>286</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row>
    <row r="5" spans="1:29" ht="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1:29" ht="15">
      <c r="A6" s="166"/>
      <c r="B6" s="166"/>
      <c r="C6" s="224" t="s">
        <v>694</v>
      </c>
      <c r="D6" s="166"/>
      <c r="E6" s="166"/>
      <c r="F6" s="401" t="s">
        <v>573</v>
      </c>
      <c r="H6" s="166"/>
      <c r="I6" s="166"/>
      <c r="J6" s="166"/>
      <c r="K6" s="166"/>
      <c r="L6" s="166"/>
      <c r="M6" s="166"/>
      <c r="N6" s="166"/>
      <c r="O6" s="166"/>
      <c r="P6" s="166"/>
      <c r="Q6" s="166"/>
      <c r="R6" s="166"/>
      <c r="S6" s="166"/>
      <c r="T6" s="166"/>
      <c r="U6" s="166"/>
      <c r="V6" s="166"/>
      <c r="W6" s="166"/>
      <c r="X6" s="166"/>
      <c r="Y6" s="166"/>
      <c r="Z6" s="166"/>
      <c r="AA6" s="166"/>
      <c r="AB6" s="166"/>
      <c r="AC6" s="166"/>
    </row>
    <row r="7" spans="1:29" ht="25.5">
      <c r="A7" s="166"/>
      <c r="B7" s="166"/>
      <c r="C7" s="410" t="s">
        <v>54</v>
      </c>
      <c r="D7" s="269" t="s">
        <v>13</v>
      </c>
      <c r="E7" s="166"/>
      <c r="F7" s="411">
        <f>1-F13</f>
        <v>0.16666666666666663</v>
      </c>
      <c r="G7" s="166"/>
      <c r="H7" s="166"/>
      <c r="I7" s="166"/>
      <c r="J7" s="166"/>
      <c r="K7" s="266">
        <f aca="true" t="shared" si="0" ref="K7:Z7">1-K13</f>
        <v>0.16666666666666663</v>
      </c>
      <c r="L7" s="266">
        <f t="shared" si="0"/>
        <v>0.16666666666666663</v>
      </c>
      <c r="M7" s="266">
        <f t="shared" si="0"/>
        <v>0.16666666666666663</v>
      </c>
      <c r="N7" s="266">
        <f t="shared" si="0"/>
        <v>0.16666666666666663</v>
      </c>
      <c r="O7" s="266">
        <f t="shared" si="0"/>
        <v>0.16666666666666663</v>
      </c>
      <c r="P7" s="266">
        <f t="shared" si="0"/>
        <v>0.16666666666666663</v>
      </c>
      <c r="Q7" s="266">
        <f t="shared" si="0"/>
        <v>0.16666666666666663</v>
      </c>
      <c r="R7" s="266">
        <f t="shared" si="0"/>
        <v>0.16666666666666663</v>
      </c>
      <c r="S7" s="266">
        <f t="shared" si="0"/>
        <v>0.16666666666666663</v>
      </c>
      <c r="T7" s="266">
        <f t="shared" si="0"/>
        <v>0.16666666666666663</v>
      </c>
      <c r="U7" s="266">
        <f t="shared" si="0"/>
        <v>0.16666666666666663</v>
      </c>
      <c r="V7" s="266">
        <f t="shared" si="0"/>
        <v>0.16666666666666663</v>
      </c>
      <c r="W7" s="266">
        <f t="shared" si="0"/>
        <v>0.16666666666666663</v>
      </c>
      <c r="X7" s="266">
        <f t="shared" si="0"/>
        <v>0.16666666666666663</v>
      </c>
      <c r="Y7" s="266">
        <f t="shared" si="0"/>
        <v>0.16666666666666663</v>
      </c>
      <c r="Z7" s="266">
        <f t="shared" si="0"/>
        <v>0.16666666666666663</v>
      </c>
      <c r="AA7" s="266">
        <f>1-AA13</f>
        <v>0.16666666666666663</v>
      </c>
      <c r="AB7" s="166"/>
      <c r="AC7" s="166"/>
    </row>
    <row r="8" spans="1:29" ht="25.5">
      <c r="A8" s="166"/>
      <c r="B8" s="166"/>
      <c r="C8" s="410" t="s">
        <v>55</v>
      </c>
      <c r="D8" s="269" t="s">
        <v>13</v>
      </c>
      <c r="E8" s="166"/>
      <c r="F8" s="411">
        <f>1-F14</f>
        <v>0.5865284974093264</v>
      </c>
      <c r="G8" s="166"/>
      <c r="H8" s="166"/>
      <c r="I8" s="166"/>
      <c r="J8" s="166"/>
      <c r="K8" s="266">
        <f aca="true" t="shared" si="1" ref="K8:Z8">1-K14</f>
        <v>0.5803360489654128</v>
      </c>
      <c r="L8" s="266">
        <f t="shared" si="1"/>
        <v>0.5578831992244802</v>
      </c>
      <c r="M8" s="266">
        <f t="shared" si="1"/>
        <v>0.5354303494835475</v>
      </c>
      <c r="N8" s="266">
        <f t="shared" si="1"/>
        <v>0.5129774997426149</v>
      </c>
      <c r="O8" s="266">
        <f t="shared" si="1"/>
        <v>0.4905246500016822</v>
      </c>
      <c r="P8" s="266">
        <f t="shared" si="1"/>
        <v>0.46807180026074957</v>
      </c>
      <c r="Q8" s="266">
        <f t="shared" si="1"/>
        <v>0.4456189505198169</v>
      </c>
      <c r="R8" s="266">
        <f t="shared" si="1"/>
        <v>0.4231661007788843</v>
      </c>
      <c r="S8" s="266">
        <f t="shared" si="1"/>
        <v>0.40071325103795163</v>
      </c>
      <c r="T8" s="266">
        <f t="shared" si="1"/>
        <v>0.378260401297019</v>
      </c>
      <c r="U8" s="266">
        <f t="shared" si="1"/>
        <v>0.35580755155608634</v>
      </c>
      <c r="V8" s="266">
        <f t="shared" si="1"/>
        <v>0.35580755155608634</v>
      </c>
      <c r="W8" s="266">
        <f t="shared" si="1"/>
        <v>0.35580755155608634</v>
      </c>
      <c r="X8" s="266">
        <f t="shared" si="1"/>
        <v>0.35580755155608634</v>
      </c>
      <c r="Y8" s="266">
        <f t="shared" si="1"/>
        <v>0.35580755155608634</v>
      </c>
      <c r="Z8" s="266">
        <f t="shared" si="1"/>
        <v>0.35580755155608634</v>
      </c>
      <c r="AA8" s="266">
        <f>1-AA14</f>
        <v>0.35580755155608634</v>
      </c>
      <c r="AB8" s="166"/>
      <c r="AC8" s="166"/>
    </row>
    <row r="9" spans="1:29" ht="25.5">
      <c r="A9" s="166"/>
      <c r="B9" s="166"/>
      <c r="C9" s="410" t="s">
        <v>56</v>
      </c>
      <c r="D9" s="269" t="s">
        <v>13</v>
      </c>
      <c r="E9" s="166"/>
      <c r="F9" s="411">
        <f>1-F15</f>
        <v>0.6166666666666667</v>
      </c>
      <c r="G9" s="166"/>
      <c r="H9" s="166"/>
      <c r="I9" s="166"/>
      <c r="J9" s="166"/>
      <c r="K9" s="266">
        <f aca="true" t="shared" si="2" ref="K9:Z9">1-K15</f>
        <v>0.6109255892559455</v>
      </c>
      <c r="L9" s="266">
        <f t="shared" si="2"/>
        <v>0.5854589225892789</v>
      </c>
      <c r="M9" s="266">
        <f t="shared" si="2"/>
        <v>0.5599922559226123</v>
      </c>
      <c r="N9" s="266">
        <f t="shared" si="2"/>
        <v>0.5345255892559456</v>
      </c>
      <c r="O9" s="266">
        <f t="shared" si="2"/>
        <v>0.509058922589279</v>
      </c>
      <c r="P9" s="266">
        <f t="shared" si="2"/>
        <v>0.48359225592261235</v>
      </c>
      <c r="Q9" s="266">
        <f t="shared" si="2"/>
        <v>0.4581255892559457</v>
      </c>
      <c r="R9" s="266">
        <f t="shared" si="2"/>
        <v>0.43265892258927907</v>
      </c>
      <c r="S9" s="266">
        <f t="shared" si="2"/>
        <v>0.40719225592261243</v>
      </c>
      <c r="T9" s="266">
        <f t="shared" si="2"/>
        <v>0.3817255892559458</v>
      </c>
      <c r="U9" s="266">
        <f t="shared" si="2"/>
        <v>0.35625892258927916</v>
      </c>
      <c r="V9" s="266">
        <f t="shared" si="2"/>
        <v>0.35625892258927916</v>
      </c>
      <c r="W9" s="266">
        <f t="shared" si="2"/>
        <v>0.35625892258927916</v>
      </c>
      <c r="X9" s="266">
        <f t="shared" si="2"/>
        <v>0.35625892258927916</v>
      </c>
      <c r="Y9" s="266">
        <f t="shared" si="2"/>
        <v>0.35625892258927916</v>
      </c>
      <c r="Z9" s="266">
        <f t="shared" si="2"/>
        <v>0.35625892258927916</v>
      </c>
      <c r="AA9" s="266">
        <f>1-AA15</f>
        <v>0.35625892258927916</v>
      </c>
      <c r="AB9" s="166"/>
      <c r="AC9" s="166"/>
    </row>
    <row r="10" spans="1:29" ht="25.5">
      <c r="A10" s="166"/>
      <c r="B10" s="166"/>
      <c r="C10" s="410" t="s">
        <v>672</v>
      </c>
      <c r="D10" s="269" t="s">
        <v>13</v>
      </c>
      <c r="E10" s="166"/>
      <c r="F10" s="411">
        <f>1-F16</f>
        <v>0.5332541567695962</v>
      </c>
      <c r="G10" s="166"/>
      <c r="H10" s="166"/>
      <c r="I10" s="166"/>
      <c r="J10" s="166"/>
      <c r="K10" s="266">
        <f aca="true" t="shared" si="3" ref="K10:Z10">1-K16</f>
        <v>0.5262638332466796</v>
      </c>
      <c r="L10" s="266">
        <f t="shared" si="3"/>
        <v>0.50913841756972</v>
      </c>
      <c r="M10" s="266">
        <f t="shared" si="3"/>
        <v>0.4920130018927603</v>
      </c>
      <c r="N10" s="266">
        <f t="shared" si="3"/>
        <v>0.47488758621580074</v>
      </c>
      <c r="O10" s="266">
        <f t="shared" si="3"/>
        <v>0.45776217053884116</v>
      </c>
      <c r="P10" s="266">
        <f t="shared" si="3"/>
        <v>0.4406367548618816</v>
      </c>
      <c r="Q10" s="266">
        <f t="shared" si="3"/>
        <v>0.423511339184922</v>
      </c>
      <c r="R10" s="266">
        <f t="shared" si="3"/>
        <v>0.40638592350796243</v>
      </c>
      <c r="S10" s="266">
        <f t="shared" si="3"/>
        <v>0.38926050783100286</v>
      </c>
      <c r="T10" s="266">
        <f t="shared" si="3"/>
        <v>0.3721350921540433</v>
      </c>
      <c r="U10" s="266">
        <f t="shared" si="3"/>
        <v>0.3550096764770837</v>
      </c>
      <c r="V10" s="266">
        <f t="shared" si="3"/>
        <v>0.3550096764770837</v>
      </c>
      <c r="W10" s="266">
        <f t="shared" si="3"/>
        <v>0.3550096764770837</v>
      </c>
      <c r="X10" s="266">
        <f t="shared" si="3"/>
        <v>0.3550096764770837</v>
      </c>
      <c r="Y10" s="266">
        <f t="shared" si="3"/>
        <v>0.3550096764770837</v>
      </c>
      <c r="Z10" s="266">
        <f t="shared" si="3"/>
        <v>0.3550096764770837</v>
      </c>
      <c r="AA10" s="266">
        <f>1-AA16</f>
        <v>0.3550096764770837</v>
      </c>
      <c r="AB10" s="166"/>
      <c r="AC10" s="166"/>
    </row>
    <row r="11" spans="1:29" ht="15">
      <c r="A11" s="166"/>
      <c r="B11" s="166"/>
      <c r="C11" s="410"/>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row>
    <row r="12" spans="1:29" ht="25.5">
      <c r="A12" s="166"/>
      <c r="B12" s="166"/>
      <c r="C12" s="224" t="s">
        <v>695</v>
      </c>
      <c r="D12" s="166"/>
      <c r="E12" s="166"/>
      <c r="F12" s="401" t="s">
        <v>573</v>
      </c>
      <c r="G12" s="401" t="s">
        <v>159</v>
      </c>
      <c r="H12" s="401" t="s">
        <v>411</v>
      </c>
      <c r="I12" s="276"/>
      <c r="J12" s="166"/>
      <c r="K12" s="541" t="s">
        <v>303</v>
      </c>
      <c r="L12" s="541"/>
      <c r="M12" s="541"/>
      <c r="N12" s="541"/>
      <c r="O12" s="541"/>
      <c r="P12" s="541"/>
      <c r="Q12" s="541"/>
      <c r="R12" s="541"/>
      <c r="S12" s="541"/>
      <c r="T12" s="541"/>
      <c r="U12" s="541"/>
      <c r="V12" s="541"/>
      <c r="W12" s="541"/>
      <c r="X12" s="541"/>
      <c r="Y12" s="541"/>
      <c r="Z12" s="541"/>
      <c r="AA12" s="527"/>
      <c r="AB12" s="166"/>
      <c r="AC12" s="166"/>
    </row>
    <row r="13" spans="1:29" ht="25.5">
      <c r="A13" s="166"/>
      <c r="B13" s="166"/>
      <c r="C13" s="410" t="s">
        <v>54</v>
      </c>
      <c r="D13" s="269" t="s">
        <v>13</v>
      </c>
      <c r="E13" s="166"/>
      <c r="F13" s="411">
        <f>'Prof izvele'!R6</f>
        <v>0.8333333333333334</v>
      </c>
      <c r="G13" s="411">
        <f>Nozares!$G$65/100</f>
        <v>0.638</v>
      </c>
      <c r="H13" s="276">
        <f>G13-F13</f>
        <v>-0.19533333333333336</v>
      </c>
      <c r="I13" s="276">
        <f>H13/10</f>
        <v>-0.019533333333333337</v>
      </c>
      <c r="J13" s="166"/>
      <c r="K13" s="266">
        <f>$F$13</f>
        <v>0.8333333333333334</v>
      </c>
      <c r="L13" s="266">
        <f>IF(K13&gt;$G13,$K13,K13+$I13)</f>
        <v>0.8333333333333334</v>
      </c>
      <c r="M13" s="266">
        <f aca="true" t="shared" si="4" ref="M13:U13">IF(L13&gt;$G13,$K13,L13+$I13)</f>
        <v>0.8333333333333334</v>
      </c>
      <c r="N13" s="266">
        <f t="shared" si="4"/>
        <v>0.8333333333333334</v>
      </c>
      <c r="O13" s="266">
        <f t="shared" si="4"/>
        <v>0.8333333333333334</v>
      </c>
      <c r="P13" s="266">
        <f t="shared" si="4"/>
        <v>0.8333333333333334</v>
      </c>
      <c r="Q13" s="266">
        <f t="shared" si="4"/>
        <v>0.8333333333333334</v>
      </c>
      <c r="R13" s="266">
        <f t="shared" si="4"/>
        <v>0.8333333333333334</v>
      </c>
      <c r="S13" s="266">
        <f t="shared" si="4"/>
        <v>0.8333333333333334</v>
      </c>
      <c r="T13" s="266">
        <f t="shared" si="4"/>
        <v>0.8333333333333334</v>
      </c>
      <c r="U13" s="266">
        <f t="shared" si="4"/>
        <v>0.8333333333333334</v>
      </c>
      <c r="V13" s="266">
        <f aca="true" t="shared" si="5" ref="V13:AA16">U13</f>
        <v>0.8333333333333334</v>
      </c>
      <c r="W13" s="266">
        <f t="shared" si="5"/>
        <v>0.8333333333333334</v>
      </c>
      <c r="X13" s="266">
        <f t="shared" si="5"/>
        <v>0.8333333333333334</v>
      </c>
      <c r="Y13" s="266">
        <f t="shared" si="5"/>
        <v>0.8333333333333334</v>
      </c>
      <c r="Z13" s="266">
        <f t="shared" si="5"/>
        <v>0.8333333333333334</v>
      </c>
      <c r="AA13" s="266">
        <f t="shared" si="5"/>
        <v>0.8333333333333334</v>
      </c>
      <c r="AB13" s="166"/>
      <c r="AC13" s="166"/>
    </row>
    <row r="14" spans="1:29" ht="25.5">
      <c r="A14" s="166"/>
      <c r="B14" s="166"/>
      <c r="C14" s="410" t="s">
        <v>55</v>
      </c>
      <c r="D14" s="269" t="s">
        <v>13</v>
      </c>
      <c r="E14" s="166"/>
      <c r="F14" s="411">
        <f>'Prof izvele'!S6</f>
        <v>0.41347150259067356</v>
      </c>
      <c r="G14" s="411">
        <f>Nozares!$G$65/100</f>
        <v>0.638</v>
      </c>
      <c r="H14" s="276">
        <f>G14-F14</f>
        <v>0.22452849740932646</v>
      </c>
      <c r="I14" s="276">
        <f>H14/10</f>
        <v>0.022452849740932646</v>
      </c>
      <c r="J14" s="166"/>
      <c r="K14" s="266">
        <f>$F14*(1+Investicijas!H$35)</f>
        <v>0.41966395103458715</v>
      </c>
      <c r="L14" s="266">
        <f aca="true" t="shared" si="6" ref="L14:U14">IF(K14&gt;$G14,$K14,K14+$I14)</f>
        <v>0.4421168007755198</v>
      </c>
      <c r="M14" s="266">
        <f t="shared" si="6"/>
        <v>0.46456965051645244</v>
      </c>
      <c r="N14" s="266">
        <f t="shared" si="6"/>
        <v>0.4870225002573851</v>
      </c>
      <c r="O14" s="266">
        <f t="shared" si="6"/>
        <v>0.5094753499983178</v>
      </c>
      <c r="P14" s="266">
        <f t="shared" si="6"/>
        <v>0.5319281997392504</v>
      </c>
      <c r="Q14" s="266">
        <f t="shared" si="6"/>
        <v>0.5543810494801831</v>
      </c>
      <c r="R14" s="266">
        <f t="shared" si="6"/>
        <v>0.5768338992211157</v>
      </c>
      <c r="S14" s="266">
        <f t="shared" si="6"/>
        <v>0.5992867489620484</v>
      </c>
      <c r="T14" s="266">
        <f t="shared" si="6"/>
        <v>0.621739598702981</v>
      </c>
      <c r="U14" s="266">
        <f t="shared" si="6"/>
        <v>0.6441924484439137</v>
      </c>
      <c r="V14" s="266">
        <f t="shared" si="5"/>
        <v>0.6441924484439137</v>
      </c>
      <c r="W14" s="266">
        <f t="shared" si="5"/>
        <v>0.6441924484439137</v>
      </c>
      <c r="X14" s="266">
        <f t="shared" si="5"/>
        <v>0.6441924484439137</v>
      </c>
      <c r="Y14" s="266">
        <f t="shared" si="5"/>
        <v>0.6441924484439137</v>
      </c>
      <c r="Z14" s="266">
        <f t="shared" si="5"/>
        <v>0.6441924484439137</v>
      </c>
      <c r="AA14" s="266">
        <f t="shared" si="5"/>
        <v>0.6441924484439137</v>
      </c>
      <c r="AB14" s="166"/>
      <c r="AC14" s="166"/>
    </row>
    <row r="15" spans="1:29" ht="25.5">
      <c r="A15" s="166"/>
      <c r="B15" s="166"/>
      <c r="C15" s="410" t="s">
        <v>56</v>
      </c>
      <c r="D15" s="269" t="s">
        <v>13</v>
      </c>
      <c r="E15" s="166"/>
      <c r="F15" s="411">
        <f>'Prof izvele'!T6</f>
        <v>0.38333333333333336</v>
      </c>
      <c r="G15" s="411">
        <f>Nozares!$G$65/100</f>
        <v>0.638</v>
      </c>
      <c r="H15" s="276">
        <f>G15-F15</f>
        <v>0.25466666666666665</v>
      </c>
      <c r="I15" s="276">
        <f>H15/10</f>
        <v>0.025466666666666665</v>
      </c>
      <c r="J15" s="166"/>
      <c r="K15" s="266">
        <f>$F15*(1+Investicijas!H$35)</f>
        <v>0.3890744107440544</v>
      </c>
      <c r="L15" s="266">
        <f aca="true" t="shared" si="7" ref="L15:U15">IF(K15&gt;$G15,$K15,K15+$I15)</f>
        <v>0.4145410774107211</v>
      </c>
      <c r="M15" s="266">
        <f t="shared" si="7"/>
        <v>0.44000774407738774</v>
      </c>
      <c r="N15" s="266">
        <f t="shared" si="7"/>
        <v>0.4654744107440544</v>
      </c>
      <c r="O15" s="266">
        <f t="shared" si="7"/>
        <v>0.490941077410721</v>
      </c>
      <c r="P15" s="266">
        <f t="shared" si="7"/>
        <v>0.5164077440773877</v>
      </c>
      <c r="Q15" s="266">
        <f t="shared" si="7"/>
        <v>0.5418744107440543</v>
      </c>
      <c r="R15" s="266">
        <f t="shared" si="7"/>
        <v>0.5673410774107209</v>
      </c>
      <c r="S15" s="266">
        <f t="shared" si="7"/>
        <v>0.5928077440773876</v>
      </c>
      <c r="T15" s="266">
        <f t="shared" si="7"/>
        <v>0.6182744107440542</v>
      </c>
      <c r="U15" s="266">
        <f t="shared" si="7"/>
        <v>0.6437410774107208</v>
      </c>
      <c r="V15" s="266">
        <f t="shared" si="5"/>
        <v>0.6437410774107208</v>
      </c>
      <c r="W15" s="266">
        <f t="shared" si="5"/>
        <v>0.6437410774107208</v>
      </c>
      <c r="X15" s="266">
        <f t="shared" si="5"/>
        <v>0.6437410774107208</v>
      </c>
      <c r="Y15" s="266">
        <f t="shared" si="5"/>
        <v>0.6437410774107208</v>
      </c>
      <c r="Z15" s="266">
        <f t="shared" si="5"/>
        <v>0.6437410774107208</v>
      </c>
      <c r="AA15" s="266">
        <f t="shared" si="5"/>
        <v>0.6437410774107208</v>
      </c>
      <c r="AB15" s="166"/>
      <c r="AC15" s="166"/>
    </row>
    <row r="16" spans="1:29" ht="25.5">
      <c r="A16" s="166"/>
      <c r="B16" s="166"/>
      <c r="C16" s="410" t="s">
        <v>672</v>
      </c>
      <c r="D16" s="269" t="s">
        <v>13</v>
      </c>
      <c r="E16" s="166"/>
      <c r="F16" s="411">
        <f>'Prof izvele'!U6</f>
        <v>0.4667458432304038</v>
      </c>
      <c r="G16" s="411">
        <f>Nozares!$G$65/100</f>
        <v>0.638</v>
      </c>
      <c r="H16" s="276">
        <f>G16-F16</f>
        <v>0.1712541567695962</v>
      </c>
      <c r="I16" s="276">
        <f>H16/10</f>
        <v>0.017125415676959622</v>
      </c>
      <c r="J16" s="166"/>
      <c r="K16" s="266">
        <f>$F16*(1+Investicijas!H$35)</f>
        <v>0.4737361667533204</v>
      </c>
      <c r="L16" s="266">
        <f aca="true" t="shared" si="8" ref="L16:U16">IF(K16&gt;$G16,$K16,K16+$I16)</f>
        <v>0.49086158243028005</v>
      </c>
      <c r="M16" s="266">
        <f t="shared" si="8"/>
        <v>0.5079869981072397</v>
      </c>
      <c r="N16" s="266">
        <f t="shared" si="8"/>
        <v>0.5251124137841993</v>
      </c>
      <c r="O16" s="266">
        <f t="shared" si="8"/>
        <v>0.5422378294611588</v>
      </c>
      <c r="P16" s="266">
        <f t="shared" si="8"/>
        <v>0.5593632451381184</v>
      </c>
      <c r="Q16" s="266">
        <f t="shared" si="8"/>
        <v>0.576488660815078</v>
      </c>
      <c r="R16" s="266">
        <f t="shared" si="8"/>
        <v>0.5936140764920376</v>
      </c>
      <c r="S16" s="266">
        <f t="shared" si="8"/>
        <v>0.6107394921689971</v>
      </c>
      <c r="T16" s="266">
        <f t="shared" si="8"/>
        <v>0.6278649078459567</v>
      </c>
      <c r="U16" s="266">
        <f t="shared" si="8"/>
        <v>0.6449903235229163</v>
      </c>
      <c r="V16" s="266">
        <f t="shared" si="5"/>
        <v>0.6449903235229163</v>
      </c>
      <c r="W16" s="266">
        <f t="shared" si="5"/>
        <v>0.6449903235229163</v>
      </c>
      <c r="X16" s="266">
        <f t="shared" si="5"/>
        <v>0.6449903235229163</v>
      </c>
      <c r="Y16" s="266">
        <f t="shared" si="5"/>
        <v>0.6449903235229163</v>
      </c>
      <c r="Z16" s="266">
        <f t="shared" si="5"/>
        <v>0.6449903235229163</v>
      </c>
      <c r="AA16" s="266">
        <f t="shared" si="5"/>
        <v>0.6449903235229163</v>
      </c>
      <c r="AB16" s="166"/>
      <c r="AC16" s="166"/>
    </row>
    <row r="17" spans="1:29" ht="15">
      <c r="A17" s="166"/>
      <c r="B17" s="166"/>
      <c r="C17" s="224" t="s">
        <v>388</v>
      </c>
      <c r="D17" s="269" t="s">
        <v>13</v>
      </c>
      <c r="E17" s="166"/>
      <c r="F17" s="411">
        <f>-'Prof &amp; Augst'!I43</f>
        <v>0.13081705206858582</v>
      </c>
      <c r="G17" s="166"/>
      <c r="H17" s="166"/>
      <c r="I17" s="276"/>
      <c r="J17" s="276"/>
      <c r="K17" s="276"/>
      <c r="L17" s="276"/>
      <c r="M17" s="166"/>
      <c r="N17" s="166"/>
      <c r="O17" s="166"/>
      <c r="P17" s="166"/>
      <c r="Q17" s="166"/>
      <c r="R17" s="166"/>
      <c r="S17" s="166"/>
      <c r="T17" s="166"/>
      <c r="U17" s="166"/>
      <c r="V17" s="166"/>
      <c r="W17" s="166"/>
      <c r="X17" s="166"/>
      <c r="Y17" s="166"/>
      <c r="Z17" s="166"/>
      <c r="AA17" s="166"/>
      <c r="AB17" s="166"/>
      <c r="AC17" s="166"/>
    </row>
    <row r="18" spans="1:29" ht="15">
      <c r="A18" s="166"/>
      <c r="B18" s="166"/>
      <c r="C18" s="166"/>
      <c r="D18" s="166"/>
      <c r="E18" s="166"/>
      <c r="F18" s="276"/>
      <c r="G18" s="276"/>
      <c r="H18" s="276"/>
      <c r="I18" s="276"/>
      <c r="J18" s="166"/>
      <c r="K18" s="166"/>
      <c r="L18" s="166"/>
      <c r="M18" s="166"/>
      <c r="N18" s="166"/>
      <c r="O18" s="166"/>
      <c r="P18" s="166"/>
      <c r="Q18" s="166"/>
      <c r="R18" s="166"/>
      <c r="S18" s="166"/>
      <c r="T18" s="166"/>
      <c r="U18" s="166"/>
      <c r="V18" s="166"/>
      <c r="W18" s="166"/>
      <c r="X18" s="166"/>
      <c r="Y18" s="166"/>
      <c r="Z18" s="166"/>
      <c r="AA18" s="166"/>
      <c r="AB18" s="166"/>
      <c r="AC18" s="166"/>
    </row>
    <row r="19" spans="1:29" ht="51">
      <c r="A19" s="166"/>
      <c r="B19" s="166"/>
      <c r="C19" s="224" t="s">
        <v>579</v>
      </c>
      <c r="D19" s="166"/>
      <c r="E19" s="166"/>
      <c r="F19" s="401" t="s">
        <v>155</v>
      </c>
      <c r="G19" s="401" t="s">
        <v>154</v>
      </c>
      <c r="H19" s="401" t="s">
        <v>267</v>
      </c>
      <c r="I19" s="401" t="s">
        <v>712</v>
      </c>
      <c r="J19" s="166"/>
      <c r="K19" s="166"/>
      <c r="L19" s="166"/>
      <c r="M19" s="166"/>
      <c r="N19" s="166"/>
      <c r="O19" s="166"/>
      <c r="P19" s="166"/>
      <c r="Q19" s="166"/>
      <c r="R19" s="166"/>
      <c r="S19" s="166"/>
      <c r="T19" s="166"/>
      <c r="U19" s="166"/>
      <c r="V19" s="166"/>
      <c r="W19" s="166"/>
      <c r="X19" s="166"/>
      <c r="Y19" s="166"/>
      <c r="Z19" s="166"/>
      <c r="AA19" s="166"/>
      <c r="AB19" s="166"/>
      <c r="AC19" s="166"/>
    </row>
    <row r="20" spans="1:29" ht="25.5">
      <c r="A20" s="166"/>
      <c r="B20" s="166"/>
      <c r="C20" s="410" t="s">
        <v>54</v>
      </c>
      <c r="D20" s="166" t="s">
        <v>13</v>
      </c>
      <c r="E20" s="166"/>
      <c r="F20" s="411">
        <f>SUM(G20)*(1+H20)</f>
        <v>0.57</v>
      </c>
      <c r="G20" s="411">
        <f>57%*(1+I20)</f>
        <v>0.57</v>
      </c>
      <c r="H20" s="411">
        <v>0</v>
      </c>
      <c r="I20" s="411">
        <v>0</v>
      </c>
      <c r="J20" s="166"/>
      <c r="K20" s="166"/>
      <c r="L20" s="166"/>
      <c r="M20" s="166"/>
      <c r="N20" s="166"/>
      <c r="O20" s="166"/>
      <c r="P20" s="166"/>
      <c r="Q20" s="166"/>
      <c r="R20" s="166"/>
      <c r="S20" s="166"/>
      <c r="T20" s="166"/>
      <c r="U20" s="166"/>
      <c r="V20" s="166"/>
      <c r="W20" s="166"/>
      <c r="X20" s="166"/>
      <c r="Y20" s="166"/>
      <c r="Z20" s="166"/>
      <c r="AA20" s="166"/>
      <c r="AB20" s="166"/>
      <c r="AC20" s="166"/>
    </row>
    <row r="21" spans="1:29" ht="25.5">
      <c r="A21" s="166"/>
      <c r="B21" s="166"/>
      <c r="C21" s="410" t="s">
        <v>55</v>
      </c>
      <c r="D21" s="166" t="s">
        <v>13</v>
      </c>
      <c r="E21" s="166"/>
      <c r="F21" s="411">
        <f>SUM(G21)*(1+H21)</f>
        <v>0.65</v>
      </c>
      <c r="G21" s="411">
        <f>65%*(1+I21)</f>
        <v>0.65</v>
      </c>
      <c r="H21" s="411">
        <v>0</v>
      </c>
      <c r="I21" s="411">
        <v>0</v>
      </c>
      <c r="J21" s="166"/>
      <c r="K21" s="166"/>
      <c r="L21" s="166"/>
      <c r="M21" s="166"/>
      <c r="N21" s="166"/>
      <c r="O21" s="166"/>
      <c r="P21" s="166"/>
      <c r="Q21" s="166"/>
      <c r="R21" s="166"/>
      <c r="S21" s="166"/>
      <c r="T21" s="166"/>
      <c r="U21" s="166"/>
      <c r="V21" s="166"/>
      <c r="W21" s="166"/>
      <c r="X21" s="166"/>
      <c r="Y21" s="166"/>
      <c r="Z21" s="166"/>
      <c r="AA21" s="166"/>
      <c r="AB21" s="166"/>
      <c r="AC21" s="166"/>
    </row>
    <row r="22" spans="1:29" ht="25.5">
      <c r="A22" s="166"/>
      <c r="B22" s="166"/>
      <c r="C22" s="410" t="s">
        <v>56</v>
      </c>
      <c r="D22" s="166" t="s">
        <v>13</v>
      </c>
      <c r="E22" s="166"/>
      <c r="F22" s="411">
        <f>SUM(G22)*(1+H22)</f>
        <v>0.29</v>
      </c>
      <c r="G22" s="411">
        <f>29%*(1+I22)</f>
        <v>0.29</v>
      </c>
      <c r="H22" s="411">
        <v>0</v>
      </c>
      <c r="I22" s="411">
        <v>0</v>
      </c>
      <c r="J22" s="166"/>
      <c r="K22" s="166"/>
      <c r="L22" s="166"/>
      <c r="M22" s="166"/>
      <c r="N22" s="166"/>
      <c r="O22" s="166"/>
      <c r="P22" s="166"/>
      <c r="Q22" s="166"/>
      <c r="R22" s="166"/>
      <c r="S22" s="166"/>
      <c r="T22" s="166"/>
      <c r="U22" s="166"/>
      <c r="V22" s="166"/>
      <c r="W22" s="166"/>
      <c r="X22" s="166"/>
      <c r="Y22" s="166"/>
      <c r="Z22" s="166"/>
      <c r="AA22" s="166"/>
      <c r="AB22" s="166"/>
      <c r="AC22" s="166"/>
    </row>
    <row r="23" spans="1:29" ht="25.5">
      <c r="A23" s="166"/>
      <c r="B23" s="166"/>
      <c r="C23" s="410" t="s">
        <v>672</v>
      </c>
      <c r="D23" s="166" t="s">
        <v>13</v>
      </c>
      <c r="E23" s="166"/>
      <c r="F23" s="411">
        <f>SUM(G23)*(1+H23)</f>
        <v>0.47</v>
      </c>
      <c r="G23" s="411">
        <f>47%*(1+I23)</f>
        <v>0.47</v>
      </c>
      <c r="H23" s="411">
        <v>0</v>
      </c>
      <c r="I23" s="411">
        <v>0</v>
      </c>
      <c r="J23" s="166"/>
      <c r="K23" s="166"/>
      <c r="L23" s="166"/>
      <c r="M23" s="166"/>
      <c r="N23" s="166"/>
      <c r="O23" s="166"/>
      <c r="P23" s="166"/>
      <c r="Q23" s="166"/>
      <c r="R23" s="166"/>
      <c r="S23" s="166"/>
      <c r="T23" s="166"/>
      <c r="U23" s="166"/>
      <c r="V23" s="166"/>
      <c r="W23" s="166"/>
      <c r="X23" s="166"/>
      <c r="Y23" s="166"/>
      <c r="Z23" s="166"/>
      <c r="AA23" s="166"/>
      <c r="AB23" s="166"/>
      <c r="AC23" s="166"/>
    </row>
    <row r="24" spans="1:29" ht="15">
      <c r="A24" s="166"/>
      <c r="B24" s="166"/>
      <c r="C24" s="412"/>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166"/>
    </row>
    <row r="25" spans="1:29" ht="15">
      <c r="A25" s="166"/>
      <c r="B25" s="166"/>
      <c r="C25" s="224" t="s">
        <v>640</v>
      </c>
      <c r="D25" s="233"/>
      <c r="E25" s="233"/>
      <c r="F25" s="401" t="s">
        <v>641</v>
      </c>
      <c r="G25" s="401" t="s">
        <v>642</v>
      </c>
      <c r="H25" s="233"/>
      <c r="I25" s="233"/>
      <c r="J25" s="233"/>
      <c r="K25" s="233"/>
      <c r="L25" s="233"/>
      <c r="M25" s="233"/>
      <c r="N25" s="233"/>
      <c r="O25" s="233"/>
      <c r="P25" s="233"/>
      <c r="Q25" s="233"/>
      <c r="R25" s="233"/>
      <c r="S25" s="233"/>
      <c r="T25" s="233"/>
      <c r="U25" s="233"/>
      <c r="V25" s="233"/>
      <c r="W25" s="233"/>
      <c r="X25" s="233"/>
      <c r="Y25" s="233"/>
      <c r="Z25" s="233"/>
      <c r="AA25" s="233"/>
      <c r="AB25" s="233"/>
      <c r="AC25" s="166"/>
    </row>
    <row r="26" spans="1:29" ht="15">
      <c r="A26" s="166"/>
      <c r="B26" s="166"/>
      <c r="C26" s="225" t="s">
        <v>161</v>
      </c>
      <c r="D26" s="233"/>
      <c r="E26" s="233"/>
      <c r="F26" s="418">
        <f>1-Nozares!I97</f>
        <v>0.9443940634589599</v>
      </c>
      <c r="G26" s="418">
        <f>1-F26</f>
        <v>0.05560593654104007</v>
      </c>
      <c r="H26" s="233"/>
      <c r="I26" s="233"/>
      <c r="J26" s="233"/>
      <c r="K26" s="233"/>
      <c r="L26" s="233"/>
      <c r="M26" s="233"/>
      <c r="N26" s="233"/>
      <c r="O26" s="233"/>
      <c r="P26" s="233"/>
      <c r="Q26" s="233"/>
      <c r="R26" s="233"/>
      <c r="S26" s="233"/>
      <c r="T26" s="233"/>
      <c r="U26" s="233"/>
      <c r="V26" s="233"/>
      <c r="W26" s="233"/>
      <c r="X26" s="233"/>
      <c r="Y26" s="233"/>
      <c r="Z26" s="233"/>
      <c r="AA26" s="233"/>
      <c r="AB26" s="233"/>
      <c r="AC26" s="166"/>
    </row>
    <row r="27" spans="1:29" ht="15">
      <c r="A27" s="166"/>
      <c r="B27" s="166"/>
      <c r="C27" s="225" t="s">
        <v>671</v>
      </c>
      <c r="D27" s="496"/>
      <c r="E27" s="233"/>
      <c r="F27" s="418">
        <f>1-Nozares!I98</f>
        <v>0.8950558993793862</v>
      </c>
      <c r="G27" s="418">
        <f>1-F27</f>
        <v>0.10494410062061377</v>
      </c>
      <c r="H27" s="233"/>
      <c r="I27" s="233"/>
      <c r="K27" s="233"/>
      <c r="L27" s="233"/>
      <c r="M27" s="233"/>
      <c r="N27" s="233"/>
      <c r="O27" s="233"/>
      <c r="P27" s="233"/>
      <c r="Q27" s="233"/>
      <c r="R27" s="233"/>
      <c r="S27" s="233"/>
      <c r="T27" s="233"/>
      <c r="U27" s="233"/>
      <c r="V27" s="233"/>
      <c r="W27" s="233"/>
      <c r="X27" s="233"/>
      <c r="Y27" s="233"/>
      <c r="Z27" s="233"/>
      <c r="AA27" s="233"/>
      <c r="AB27" s="233"/>
      <c r="AC27" s="166"/>
    </row>
    <row r="28" spans="1:29" ht="15">
      <c r="A28" s="166"/>
      <c r="B28" s="166"/>
      <c r="C28" s="225" t="s">
        <v>159</v>
      </c>
      <c r="D28" s="233"/>
      <c r="E28" s="233"/>
      <c r="F28" s="418">
        <f>1-Nozares!I99</f>
        <v>0.8678722370959522</v>
      </c>
      <c r="G28" s="418">
        <f>1-F28</f>
        <v>0.13212776290404782</v>
      </c>
      <c r="H28" s="233"/>
      <c r="I28" s="233"/>
      <c r="J28" s="233"/>
      <c r="K28" s="233"/>
      <c r="L28" s="233"/>
      <c r="M28" s="233"/>
      <c r="N28" s="233"/>
      <c r="O28" s="233"/>
      <c r="P28" s="233"/>
      <c r="Q28" s="233"/>
      <c r="R28" s="233"/>
      <c r="S28" s="233"/>
      <c r="T28" s="233"/>
      <c r="U28" s="233"/>
      <c r="V28" s="233"/>
      <c r="W28" s="233"/>
      <c r="X28" s="233"/>
      <c r="Y28" s="233"/>
      <c r="Z28" s="233"/>
      <c r="AA28" s="233"/>
      <c r="AB28" s="233"/>
      <c r="AC28" s="166"/>
    </row>
    <row r="29" spans="1:29" ht="15">
      <c r="A29" s="166"/>
      <c r="B29" s="166"/>
      <c r="C29" s="225" t="s">
        <v>158</v>
      </c>
      <c r="D29" s="233"/>
      <c r="E29" s="233"/>
      <c r="F29" s="418">
        <f>1-Nozares!I100</f>
        <v>0.7597334247808292</v>
      </c>
      <c r="G29" s="418">
        <f>1-F29</f>
        <v>0.24026657521917083</v>
      </c>
      <c r="H29" s="233"/>
      <c r="I29" s="233"/>
      <c r="J29" s="233"/>
      <c r="K29" s="233"/>
      <c r="L29" s="233"/>
      <c r="M29" s="233"/>
      <c r="N29" s="233"/>
      <c r="O29" s="233"/>
      <c r="P29" s="233"/>
      <c r="Q29" s="233"/>
      <c r="R29" s="233"/>
      <c r="S29" s="233"/>
      <c r="T29" s="233"/>
      <c r="U29" s="233"/>
      <c r="V29" s="233"/>
      <c r="W29" s="233"/>
      <c r="X29" s="233"/>
      <c r="Y29" s="233"/>
      <c r="Z29" s="233"/>
      <c r="AA29" s="233"/>
      <c r="AB29" s="233"/>
      <c r="AC29" s="166"/>
    </row>
    <row r="30" spans="1:29" ht="15">
      <c r="A30" s="262"/>
      <c r="B30" s="413" t="s">
        <v>409</v>
      </c>
      <c r="C30" s="262" t="s">
        <v>308</v>
      </c>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1:29" ht="15">
      <c r="A31" s="166"/>
      <c r="B31" s="166"/>
      <c r="C31" s="414" t="s">
        <v>53</v>
      </c>
      <c r="D31" s="233"/>
      <c r="E31" s="233"/>
      <c r="F31" s="283"/>
      <c r="G31" s="502"/>
      <c r="H31" s="540" t="s">
        <v>273</v>
      </c>
      <c r="I31" s="540"/>
      <c r="J31" s="540"/>
      <c r="K31" s="540"/>
      <c r="O31" s="233"/>
      <c r="P31" s="233"/>
      <c r="Q31" s="233"/>
      <c r="R31" s="233"/>
      <c r="S31" s="233"/>
      <c r="T31" s="233"/>
      <c r="U31" s="233"/>
      <c r="V31" s="233"/>
      <c r="W31" s="233"/>
      <c r="X31" s="233"/>
      <c r="Y31" s="233"/>
      <c r="Z31" s="233"/>
      <c r="AA31" s="233"/>
      <c r="AB31" s="233"/>
      <c r="AC31" s="166"/>
    </row>
    <row r="32" spans="1:29" ht="25.5">
      <c r="A32" s="166"/>
      <c r="B32" s="166"/>
      <c r="C32" s="415" t="s">
        <v>54</v>
      </c>
      <c r="D32" s="233"/>
      <c r="E32" s="233"/>
      <c r="F32" s="249"/>
      <c r="G32" s="249"/>
      <c r="H32" s="235"/>
      <c r="I32" s="235"/>
      <c r="J32" s="235"/>
      <c r="K32" s="235">
        <v>0</v>
      </c>
      <c r="L32" s="259">
        <f>ROUND('Izglītojamie - bez projekta'!H$35*'Izglītojamie - bez projekta'!$F52*(1-1!$G7*4)*1!L$4,0)</f>
        <v>0</v>
      </c>
      <c r="M32" s="259">
        <f>ROUND('Izglītojamie - bez projekta'!I$35*'Izglītojamie - bez projekta'!$F52*(1-1!$G7*4)*1!M$4,0)</f>
        <v>0</v>
      </c>
      <c r="N32" s="259">
        <f>ROUND('Izglītojamie - bez projekta'!J$35*'Izglītojamie - bez projekta'!$F52*(1-1!$G7*4)*1!N$4,0)</f>
        <v>0</v>
      </c>
      <c r="O32" s="259">
        <f>ROUND('Izglītojamie - bez projekta'!K$35*'Izglītojamie - bez projekta'!$F52*(1-1!$G7*4)*1!O$4,0)</f>
        <v>0</v>
      </c>
      <c r="P32" s="259">
        <f>ROUND('Izglītojamie - bez projekta'!L$35*'Izglītojamie - bez projekta'!$F52*(1-1!$G7*4)*1!P$4,0)</f>
        <v>0</v>
      </c>
      <c r="Q32" s="259">
        <f>ROUND('Izglītojamie - bez projekta'!M$35*'Izglītojamie - bez projekta'!$F52*(1-1!$G7*4)*1!Q$4,0)</f>
        <v>0</v>
      </c>
      <c r="R32" s="259">
        <f>ROUND('Izglītojamie - bez projekta'!N$35*'Izglītojamie - bez projekta'!$F52*(1-1!$G7*4)*1!R$4,0)</f>
        <v>0</v>
      </c>
      <c r="S32" s="259">
        <f>ROUND('Izglītojamie - bez projekta'!O$35*'Izglītojamie - bez projekta'!$F52*(1-1!$G7*4)*1!S$4,0)</f>
        <v>0</v>
      </c>
      <c r="T32" s="259">
        <f>ROUND('Izglītojamie - bez projekta'!P$35*'Izglītojamie - bez projekta'!$F52*(1-1!$G7*4)*1!T$4,0)</f>
        <v>0</v>
      </c>
      <c r="U32" s="259">
        <f>ROUND('Izglītojamie - bez projekta'!Q$35*'Izglītojamie - bez projekta'!$F52*(1-1!$G7*4)*1!U$4,0)</f>
        <v>0</v>
      </c>
      <c r="V32" s="259">
        <f>ROUND('Izglītojamie - bez projekta'!R$35*'Izglītojamie - bez projekta'!$F52*(1-1!$G7*4)*1!V$4,0)</f>
        <v>0</v>
      </c>
      <c r="W32" s="259">
        <f>ROUND('Izglītojamie - bez projekta'!S$35*'Izglītojamie - bez projekta'!$F52*(1-1!$G7*4)*1!W$4,0)</f>
        <v>0</v>
      </c>
      <c r="X32" s="259">
        <f>ROUND('Izglītojamie - bez projekta'!T$35*'Izglītojamie - bez projekta'!$F52*(1-1!$G7*4)*1!X$4,0)</f>
        <v>0</v>
      </c>
      <c r="Y32" s="259">
        <f>ROUND('Izglītojamie - bez projekta'!U$35*'Izglītojamie - bez projekta'!$F52*(1-1!$G7*4)*1!Y$4,0)</f>
        <v>0</v>
      </c>
      <c r="Z32" s="259">
        <f>ROUND('Izglītojamie - bez projekta'!V$35*'Izglītojamie - bez projekta'!$F52*(1-1!$G7*4)*1!Z$4,0)</f>
        <v>0</v>
      </c>
      <c r="AA32" s="259">
        <f>ROUND('Izglītojamie - bez projekta'!W$35*'Izglītojamie - bez projekta'!$F52*(1-1!$G7*4)*1!AA$4,0)</f>
        <v>0</v>
      </c>
      <c r="AB32" s="233"/>
      <c r="AC32" s="166"/>
    </row>
    <row r="33" spans="1:29" ht="25.5">
      <c r="A33" s="166"/>
      <c r="B33" s="166"/>
      <c r="C33" s="415" t="s">
        <v>55</v>
      </c>
      <c r="D33" s="233"/>
      <c r="E33" s="233"/>
      <c r="F33" s="249"/>
      <c r="G33" s="249"/>
      <c r="H33" s="235"/>
      <c r="I33" s="235"/>
      <c r="J33" s="235"/>
      <c r="K33" s="235">
        <v>0</v>
      </c>
      <c r="L33" s="259">
        <f>ROUND('Izglītojamie - bez projekta'!H$35*'Izglītojamie - bez projekta'!$F53*(1-1!$G8*4)*1!L$4,0)</f>
        <v>0</v>
      </c>
      <c r="M33" s="259">
        <f>ROUND('Izglītojamie - bez projekta'!I$35*'Izglītojamie - bez projekta'!$F53*(1-1!$G8*4)*1!M$4,0)</f>
        <v>0</v>
      </c>
      <c r="N33" s="259">
        <f>ROUND('Izglītojamie - bez projekta'!J$35*'Izglītojamie - bez projekta'!$F53*(1-1!$G8*4)*1!N$4,0)</f>
        <v>0</v>
      </c>
      <c r="O33" s="259">
        <f>ROUND('Izglītojamie - bez projekta'!K$35*'Izglītojamie - bez projekta'!$F53*(1-1!$G8*4)*1!O$4,0)</f>
        <v>0</v>
      </c>
      <c r="P33" s="259">
        <f>ROUND('Izglītojamie - bez projekta'!L$35*'Izglītojamie - bez projekta'!$F53*(1-1!$G8*4)*1!P$4,0)</f>
        <v>0</v>
      </c>
      <c r="Q33" s="259">
        <f>ROUND('Izglītojamie - bez projekta'!M$35*'Izglītojamie - bez projekta'!$F53*(1-1!$G8*4)*1!Q$4,0)</f>
        <v>0</v>
      </c>
      <c r="R33" s="259">
        <f>ROUND('Izglītojamie - bez projekta'!N$35*'Izglītojamie - bez projekta'!$F53*(1-1!$G8*4)*1!R$4,0)</f>
        <v>0</v>
      </c>
      <c r="S33" s="259">
        <f>ROUND('Izglītojamie - bez projekta'!O$35*'Izglītojamie - bez projekta'!$F53*(1-1!$G8*4)*1!S$4,0)</f>
        <v>0</v>
      </c>
      <c r="T33" s="259">
        <f>ROUND('Izglītojamie - bez projekta'!P$35*'Izglītojamie - bez projekta'!$F53*(1-1!$G8*4)*1!T$4,0)</f>
        <v>0</v>
      </c>
      <c r="U33" s="259">
        <f>ROUND('Izglītojamie - bez projekta'!Q$35*'Izglītojamie - bez projekta'!$F53*(1-1!$G8*4)*1!U$4,0)</f>
        <v>0</v>
      </c>
      <c r="V33" s="259">
        <f>ROUND('Izglītojamie - bez projekta'!R$35*'Izglītojamie - bez projekta'!$F53*(1-1!$G8*4)*1!V$4,0)</f>
        <v>0</v>
      </c>
      <c r="W33" s="259">
        <f>ROUND('Izglītojamie - bez projekta'!S$35*'Izglītojamie - bez projekta'!$F53*(1-1!$G8*4)*1!W$4,0)</f>
        <v>0</v>
      </c>
      <c r="X33" s="259">
        <f>ROUND('Izglītojamie - bez projekta'!T$35*'Izglītojamie - bez projekta'!$F53*(1-1!$G8*4)*1!X$4,0)</f>
        <v>0</v>
      </c>
      <c r="Y33" s="259">
        <f>ROUND('Izglītojamie - bez projekta'!U$35*'Izglītojamie - bez projekta'!$F53*(1-1!$G8*4)*1!Y$4,0)</f>
        <v>0</v>
      </c>
      <c r="Z33" s="259">
        <f>ROUND('Izglītojamie - bez projekta'!V$35*'Izglītojamie - bez projekta'!$F53*(1-1!$G8*4)*1!Z$4,0)</f>
        <v>0</v>
      </c>
      <c r="AA33" s="259">
        <f>ROUND('Izglītojamie - bez projekta'!W$35*'Izglītojamie - bez projekta'!$F53*(1-1!$G8*4)*1!AA$4,0)</f>
        <v>0</v>
      </c>
      <c r="AB33" s="233"/>
      <c r="AC33" s="166"/>
    </row>
    <row r="34" spans="1:29" ht="25.5">
      <c r="A34" s="166"/>
      <c r="B34" s="166"/>
      <c r="C34" s="416" t="s">
        <v>56</v>
      </c>
      <c r="D34" s="233"/>
      <c r="E34" s="233"/>
      <c r="F34" s="249"/>
      <c r="G34" s="249"/>
      <c r="H34" s="235"/>
      <c r="I34" s="235"/>
      <c r="J34" s="235"/>
      <c r="K34" s="235">
        <v>0</v>
      </c>
      <c r="L34" s="259">
        <f>ROUND('Izglītojamie - bez projekta'!H$35*'Izglītojamie - bez projekta'!$F54*(1-1!$G9*4)*1!L$4,0)</f>
        <v>0</v>
      </c>
      <c r="M34" s="259">
        <f>ROUND('Izglītojamie - bez projekta'!I$35*'Izglītojamie - bez projekta'!$F54*(1-1!$G9*4)*1!M$4,0)</f>
        <v>0</v>
      </c>
      <c r="N34" s="259">
        <f>ROUND('Izglītojamie - bez projekta'!J$35*'Izglītojamie - bez projekta'!$F54*(1-1!$G9*4)*1!N$4,0)</f>
        <v>0</v>
      </c>
      <c r="O34" s="259">
        <f>ROUND('Izglītojamie - bez projekta'!K$35*'Izglītojamie - bez projekta'!$F54*(1-1!$G9*4)*1!O$4,0)</f>
        <v>0</v>
      </c>
      <c r="P34" s="259">
        <f>ROUND('Izglītojamie - bez projekta'!L$35*'Izglītojamie - bez projekta'!$F54*(1-1!$G9*4)*1!P$4,0)</f>
        <v>0</v>
      </c>
      <c r="Q34" s="259">
        <f>ROUND('Izglītojamie - bez projekta'!M$35*'Izglītojamie - bez projekta'!$F54*(1-1!$G9*4)*1!Q$4,0)</f>
        <v>0</v>
      </c>
      <c r="R34" s="259">
        <f>ROUND('Izglītojamie - bez projekta'!N$35*'Izglītojamie - bez projekta'!$F54*(1-1!$G9*4)*1!R$4,0)</f>
        <v>0</v>
      </c>
      <c r="S34" s="259">
        <f>ROUND('Izglītojamie - bez projekta'!O$35*'Izglītojamie - bez projekta'!$F54*(1-1!$G9*4)*1!S$4,0)</f>
        <v>0</v>
      </c>
      <c r="T34" s="259">
        <f>ROUND('Izglītojamie - bez projekta'!P$35*'Izglītojamie - bez projekta'!$F54*(1-1!$G9*4)*1!T$4,0)</f>
        <v>0</v>
      </c>
      <c r="U34" s="259">
        <f>ROUND('Izglītojamie - bez projekta'!Q$35*'Izglītojamie - bez projekta'!$F54*(1-1!$G9*4)*1!U$4,0)</f>
        <v>0</v>
      </c>
      <c r="V34" s="259">
        <f>ROUND('Izglītojamie - bez projekta'!R$35*'Izglītojamie - bez projekta'!$F54*(1-1!$G9*4)*1!V$4,0)</f>
        <v>0</v>
      </c>
      <c r="W34" s="259">
        <f>ROUND('Izglītojamie - bez projekta'!S$35*'Izglītojamie - bez projekta'!$F54*(1-1!$G9*4)*1!W$4,0)</f>
        <v>0</v>
      </c>
      <c r="X34" s="259">
        <f>ROUND('Izglītojamie - bez projekta'!T$35*'Izglītojamie - bez projekta'!$F54*(1-1!$G9*4)*1!X$4,0)</f>
        <v>0</v>
      </c>
      <c r="Y34" s="259">
        <f>ROUND('Izglītojamie - bez projekta'!U$35*'Izglītojamie - bez projekta'!$F54*(1-1!$G9*4)*1!Y$4,0)</f>
        <v>0</v>
      </c>
      <c r="Z34" s="259">
        <f>ROUND('Izglītojamie - bez projekta'!V$35*'Izglītojamie - bez projekta'!$F54*(1-1!$G9*4)*1!Z$4,0)</f>
        <v>0</v>
      </c>
      <c r="AA34" s="259">
        <f>ROUND('Izglītojamie - bez projekta'!W$35*'Izglītojamie - bez projekta'!$F54*(1-1!$G9*4)*1!AA$4,0)</f>
        <v>0</v>
      </c>
      <c r="AB34" s="233"/>
      <c r="AC34" s="166"/>
    </row>
    <row r="35" spans="1:29" ht="25.5">
      <c r="A35" s="166"/>
      <c r="B35" s="166"/>
      <c r="C35" s="416" t="s">
        <v>672</v>
      </c>
      <c r="D35" s="233"/>
      <c r="E35" s="233"/>
      <c r="F35" s="249"/>
      <c r="G35" s="249"/>
      <c r="H35" s="235"/>
      <c r="I35" s="235"/>
      <c r="J35" s="235"/>
      <c r="K35" s="235">
        <v>0</v>
      </c>
      <c r="L35" s="259">
        <f>ROUND('Izglītojamie - bez projekta'!H$35*'Izglītojamie - bez projekta'!$F55*(1-1!$G10*4)*1!L$4,0)</f>
        <v>0</v>
      </c>
      <c r="M35" s="259">
        <f>ROUND('Izglītojamie - bez projekta'!I$35*'Izglītojamie - bez projekta'!$F55*(1-1!$G10*4)*1!M$4,0)</f>
        <v>0</v>
      </c>
      <c r="N35" s="259">
        <f>ROUND('Izglītojamie - bez projekta'!J$35*'Izglītojamie - bez projekta'!$F55*(1-1!$G10*4)*1!N$4,0)</f>
        <v>0</v>
      </c>
      <c r="O35" s="259">
        <f>ROUND('Izglītojamie - bez projekta'!K$35*'Izglītojamie - bez projekta'!$F55*(1-1!$G10*4)*1!O$4,0)</f>
        <v>0</v>
      </c>
      <c r="P35" s="259">
        <f>ROUND('Izglītojamie - bez projekta'!L$35*'Izglītojamie - bez projekta'!$F55*(1-1!$G10*4)*1!P$4,0)</f>
        <v>0</v>
      </c>
      <c r="Q35" s="259">
        <f>ROUND('Izglītojamie - bez projekta'!M$35*'Izglītojamie - bez projekta'!$F55*(1-1!$G10*4)*1!Q$4,0)</f>
        <v>0</v>
      </c>
      <c r="R35" s="259">
        <f>ROUND('Izglītojamie - bez projekta'!N$35*'Izglītojamie - bez projekta'!$F55*(1-1!$G10*4)*1!R$4,0)</f>
        <v>0</v>
      </c>
      <c r="S35" s="259">
        <f>ROUND('Izglītojamie - bez projekta'!O$35*'Izglītojamie - bez projekta'!$F55*(1-1!$G10*4)*1!S$4,0)</f>
        <v>0</v>
      </c>
      <c r="T35" s="259">
        <f>ROUND('Izglītojamie - bez projekta'!P$35*'Izglītojamie - bez projekta'!$F55*(1-1!$G10*4)*1!T$4,0)</f>
        <v>0</v>
      </c>
      <c r="U35" s="259">
        <f>ROUND('Izglītojamie - bez projekta'!Q$35*'Izglītojamie - bez projekta'!$F55*(1-1!$G10*4)*1!U$4,0)</f>
        <v>0</v>
      </c>
      <c r="V35" s="259">
        <f>ROUND('Izglītojamie - bez projekta'!R$35*'Izglītojamie - bez projekta'!$F55*(1-1!$G10*4)*1!V$4,0)</f>
        <v>0</v>
      </c>
      <c r="W35" s="259">
        <f>ROUND('Izglītojamie - bez projekta'!S$35*'Izglītojamie - bez projekta'!$F55*(1-1!$G10*4)*1!W$4,0)</f>
        <v>0</v>
      </c>
      <c r="X35" s="259">
        <f>ROUND('Izglītojamie - bez projekta'!T$35*'Izglītojamie - bez projekta'!$F55*(1-1!$G10*4)*1!X$4,0)</f>
        <v>0</v>
      </c>
      <c r="Y35" s="259">
        <f>ROUND('Izglītojamie - bez projekta'!U$35*'Izglītojamie - bez projekta'!$F55*(1-1!$G10*4)*1!Y$4,0)</f>
        <v>0</v>
      </c>
      <c r="Z35" s="259">
        <f>ROUND('Izglītojamie - bez projekta'!V$35*'Izglītojamie - bez projekta'!$F55*(1-1!$G10*4)*1!Z$4,0)</f>
        <v>0</v>
      </c>
      <c r="AA35" s="259">
        <f>ROUND('Izglītojamie - bez projekta'!W$35*'Izglītojamie - bez projekta'!$F55*(1-1!$G10*4)*1!AA$4,0)</f>
        <v>0</v>
      </c>
      <c r="AB35" s="233"/>
      <c r="AC35" s="166"/>
    </row>
    <row r="36" spans="1:29" ht="15">
      <c r="A36" s="166"/>
      <c r="B36" s="166"/>
      <c r="C36" s="225"/>
      <c r="D36" s="233"/>
      <c r="E36" s="233"/>
      <c r="F36" s="233"/>
      <c r="G36" s="248"/>
      <c r="H36" s="233"/>
      <c r="I36" s="233"/>
      <c r="J36" s="233"/>
      <c r="K36" s="233"/>
      <c r="L36" s="233"/>
      <c r="M36" s="233"/>
      <c r="N36" s="233"/>
      <c r="O36" s="233"/>
      <c r="P36" s="233"/>
      <c r="Q36" s="233"/>
      <c r="R36" s="233"/>
      <c r="S36" s="233"/>
      <c r="T36" s="233"/>
      <c r="U36" s="233"/>
      <c r="V36" s="233"/>
      <c r="W36" s="233"/>
      <c r="X36" s="233"/>
      <c r="Y36" s="233"/>
      <c r="Z36" s="233"/>
      <c r="AA36" s="233"/>
      <c r="AB36" s="233"/>
      <c r="AC36" s="166"/>
    </row>
    <row r="37" spans="1:29" ht="15">
      <c r="A37" s="263"/>
      <c r="B37" s="263" t="s">
        <v>65</v>
      </c>
      <c r="C37" s="417" t="s">
        <v>287</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63"/>
    </row>
    <row r="38" spans="1:29" ht="15">
      <c r="A38" s="166"/>
      <c r="B38" s="166"/>
      <c r="C38" s="414"/>
      <c r="D38" s="233"/>
      <c r="E38" s="233"/>
      <c r="F38" s="233"/>
      <c r="G38" s="502"/>
      <c r="H38" s="540" t="s">
        <v>273</v>
      </c>
      <c r="I38" s="540"/>
      <c r="J38" s="540"/>
      <c r="K38" s="540"/>
      <c r="L38" s="233"/>
      <c r="M38" s="233"/>
      <c r="N38" s="233"/>
      <c r="O38" s="233"/>
      <c r="P38" s="233"/>
      <c r="Q38" s="233"/>
      <c r="R38" s="233"/>
      <c r="S38" s="233"/>
      <c r="T38" s="233"/>
      <c r="U38" s="233"/>
      <c r="V38" s="233"/>
      <c r="W38" s="233"/>
      <c r="X38" s="233"/>
      <c r="Y38" s="233"/>
      <c r="Z38" s="233"/>
      <c r="AA38" s="233"/>
      <c r="AB38" s="233"/>
      <c r="AC38" s="166"/>
    </row>
    <row r="39" spans="1:29" ht="25.5">
      <c r="A39" s="166"/>
      <c r="B39" s="166"/>
      <c r="C39" s="415" t="str">
        <f>2!C32</f>
        <v>Izglītības tematiskā joma „mākslas” (radošās industrijas): izglītības klasifikācijas koda 3. un 4.cipars: 21</v>
      </c>
      <c r="D39" s="233"/>
      <c r="E39" s="233"/>
      <c r="F39" s="260"/>
      <c r="G39" s="249"/>
      <c r="H39" s="235"/>
      <c r="I39" s="235"/>
      <c r="J39" s="235"/>
      <c r="K39" s="235">
        <v>0</v>
      </c>
      <c r="L39" s="261">
        <f>ROUND(2!L32*$G20*$F7*$F$27+K39,0)</f>
        <v>0</v>
      </c>
      <c r="M39" s="261">
        <f>ROUND(2!M32*$G20*$F7*$F$27+L39,0)</f>
        <v>0</v>
      </c>
      <c r="N39" s="261">
        <f>ROUND(2!N32*$G20*$F7*$F$27+M39,0)</f>
        <v>0</v>
      </c>
      <c r="O39" s="261">
        <f>ROUND(2!O32*$G20*$F7*$F$27+N39,0)</f>
        <v>0</v>
      </c>
      <c r="P39" s="261">
        <f>ROUND(2!P32*$G20*$F7*$F$27+O39,0)</f>
        <v>0</v>
      </c>
      <c r="Q39" s="261">
        <f>ROUND(2!Q32*$G20*$F7*$F$27+P39,0)</f>
        <v>0</v>
      </c>
      <c r="R39" s="261">
        <f>ROUND(2!R32*$G20*$F7*$F$27+Q39,0)</f>
        <v>0</v>
      </c>
      <c r="S39" s="261">
        <f>ROUND(2!S32*$G20*$F7*$F$27+R39,0)</f>
        <v>0</v>
      </c>
      <c r="T39" s="261">
        <f>ROUND(2!T32*$G20*$F7*$F$27+S39,0)</f>
        <v>0</v>
      </c>
      <c r="U39" s="261">
        <f>ROUND(2!U32*$G20*$F7*$F$27+T39,0)</f>
        <v>0</v>
      </c>
      <c r="V39" s="261">
        <f>ROUND(2!V32*$G20*$F7*$F$27+U39,0)</f>
        <v>0</v>
      </c>
      <c r="W39" s="261">
        <f>ROUND(2!W32*$G20*$F7*$F$27+V39,0)</f>
        <v>0</v>
      </c>
      <c r="X39" s="261">
        <f>ROUND(2!X32*$G20*$F7*$F$27+W39,0)</f>
        <v>0</v>
      </c>
      <c r="Y39" s="261">
        <f>ROUND(2!Y32*$G20*$F7*$F$27+X39,0)</f>
        <v>0</v>
      </c>
      <c r="Z39" s="261">
        <f>ROUND(2!Z32*$G20*$F7*$F$27+Y39,0)</f>
        <v>0</v>
      </c>
      <c r="AA39" s="261">
        <f>ROUND(2!AA32*$G20*$F7*$F$27+Z39,0)</f>
        <v>0</v>
      </c>
      <c r="AB39" s="233"/>
      <c r="AC39" s="166"/>
    </row>
    <row r="40" spans="1:29" ht="25.5">
      <c r="A40" s="166"/>
      <c r="B40" s="166"/>
      <c r="C40" s="415" t="str">
        <f>2!C33</f>
        <v>Izglītības programmu grupas ar šādu izglītības klasifikācijas koda 3., 4. un 5.ciparu: “521”; “522”; “523”; “524”; “525”; “541”; “542”; “543”; “545” vai “582”:  </v>
      </c>
      <c r="D40" s="233"/>
      <c r="E40" s="233"/>
      <c r="F40" s="260"/>
      <c r="G40" s="249"/>
      <c r="H40" s="235"/>
      <c r="I40" s="235"/>
      <c r="J40" s="235"/>
      <c r="K40" s="235">
        <v>0</v>
      </c>
      <c r="L40" s="261">
        <f>ROUND(2!L33*$G21*$F8*$F$27+K40,0)</f>
        <v>0</v>
      </c>
      <c r="M40" s="261">
        <f>ROUND(2!M33*$G21*$F8*$F$27+L40,0)</f>
        <v>0</v>
      </c>
      <c r="N40" s="261">
        <f>ROUND(2!N33*$G21*$F8*$F$27+M40,0)</f>
        <v>0</v>
      </c>
      <c r="O40" s="261">
        <f>ROUND(2!O33*$G21*$F8*$F$27+N40,0)</f>
        <v>0</v>
      </c>
      <c r="P40" s="261">
        <f>ROUND(2!P33*$G21*$F8*$F$27+O40,0)</f>
        <v>0</v>
      </c>
      <c r="Q40" s="261">
        <f>ROUND(2!Q33*$G21*$F8*$F$27+P40,0)</f>
        <v>0</v>
      </c>
      <c r="R40" s="261">
        <f>ROUND(2!R33*$G21*$F8*$F$27+Q40,0)</f>
        <v>0</v>
      </c>
      <c r="S40" s="261">
        <f>ROUND(2!S33*$G21*$F8*$F$27+R40,0)</f>
        <v>0</v>
      </c>
      <c r="T40" s="261">
        <f>ROUND(2!T33*$G21*$F8*$F$27+S40,0)</f>
        <v>0</v>
      </c>
      <c r="U40" s="261">
        <f>ROUND(2!U33*$G21*$F8*$F$27+T40,0)</f>
        <v>0</v>
      </c>
      <c r="V40" s="261">
        <f>ROUND(2!V33*$G21*$F8*$F$27+U40,0)</f>
        <v>0</v>
      </c>
      <c r="W40" s="261">
        <f>ROUND(2!W33*$G21*$F8*$F$27+V40,0)</f>
        <v>0</v>
      </c>
      <c r="X40" s="261">
        <f>ROUND(2!X33*$G21*$F8*$F$27+W40,0)</f>
        <v>0</v>
      </c>
      <c r="Y40" s="261">
        <f>ROUND(2!Y33*$G21*$F8*$F$27+X40,0)</f>
        <v>0</v>
      </c>
      <c r="Z40" s="261">
        <f>ROUND(2!Z33*$G21*$F8*$F$27+Y40,0)</f>
        <v>0</v>
      </c>
      <c r="AA40" s="261">
        <f>ROUND(2!AA33*$G21*$F8*$F$27+Z40,0)</f>
        <v>0</v>
      </c>
      <c r="AB40" s="233"/>
      <c r="AC40" s="166"/>
    </row>
    <row r="41" spans="1:29" ht="25.5">
      <c r="A41" s="166"/>
      <c r="B41" s="166"/>
      <c r="C41" s="416" t="str">
        <f>2!C34</f>
        <v>Izglītības programmu grupa  "lauksaimniecība", "mežsaimniecība", "zivjsaimniecība" vai "veterinārija" (izglītības klasifikācijas koda 3. un 4.cipars "62" vai "64")  </v>
      </c>
      <c r="D41" s="233"/>
      <c r="E41" s="233"/>
      <c r="F41" s="260"/>
      <c r="G41" s="249"/>
      <c r="H41" s="235"/>
      <c r="I41" s="235"/>
      <c r="J41" s="235"/>
      <c r="K41" s="235">
        <v>0</v>
      </c>
      <c r="L41" s="261">
        <f>ROUND(2!L34*$G22*$F9*$F$27+K41,0)</f>
        <v>0</v>
      </c>
      <c r="M41" s="261">
        <f>ROUND(2!M34*$G22*$F9*$F$27+L41,0)</f>
        <v>0</v>
      </c>
      <c r="N41" s="261">
        <f>ROUND(2!N34*$G22*$F9*$F$27+M41,0)</f>
        <v>0</v>
      </c>
      <c r="O41" s="261">
        <f>ROUND(2!O34*$G22*$F9*$F$27+N41,0)</f>
        <v>0</v>
      </c>
      <c r="P41" s="261">
        <f>ROUND(2!P34*$G22*$F9*$F$27+O41,0)</f>
        <v>0</v>
      </c>
      <c r="Q41" s="261">
        <f>ROUND(2!Q34*$G22*$F9*$F$27+P41,0)</f>
        <v>0</v>
      </c>
      <c r="R41" s="261">
        <f>ROUND(2!R34*$G22*$F9*$F$27+Q41,0)</f>
        <v>0</v>
      </c>
      <c r="S41" s="261">
        <f>ROUND(2!S34*$G22*$F9*$F$27+R41,0)</f>
        <v>0</v>
      </c>
      <c r="T41" s="261">
        <f>ROUND(2!T34*$G22*$F9*$F$27+S41,0)</f>
        <v>0</v>
      </c>
      <c r="U41" s="261">
        <f>ROUND(2!U34*$G22*$F9*$F$27+T41,0)</f>
        <v>0</v>
      </c>
      <c r="V41" s="261">
        <f>ROUND(2!V34*$G22*$F9*$F$27+U41,0)</f>
        <v>0</v>
      </c>
      <c r="W41" s="261">
        <f>ROUND(2!W34*$G22*$F9*$F$27+V41,0)</f>
        <v>0</v>
      </c>
      <c r="X41" s="261">
        <f>ROUND(2!X34*$G22*$F9*$F$27+W41,0)</f>
        <v>0</v>
      </c>
      <c r="Y41" s="261">
        <f>ROUND(2!Y34*$G22*$F9*$F$27+X41,0)</f>
        <v>0</v>
      </c>
      <c r="Z41" s="261">
        <f>ROUND(2!Z34*$G22*$F9*$F$27+Y41,0)</f>
        <v>0</v>
      </c>
      <c r="AA41" s="261">
        <f>ROUND(2!AA34*$G22*$F9*$F$27+Z41,0)</f>
        <v>0</v>
      </c>
      <c r="AB41" s="233"/>
      <c r="AC41" s="166"/>
    </row>
    <row r="42" spans="1:29" ht="25.5">
      <c r="A42" s="166"/>
      <c r="B42" s="166"/>
      <c r="C42" s="416" t="str">
        <f>2!C35</f>
        <v>Izglītības programmu grupa: "viesnīcu un restorānu pakalpojumi"  ,  "tūrisma un atpūtas organizācija" (izglītības klasifikācijas koda 3., 4. un 5.cipars "811"  vai "812") </v>
      </c>
      <c r="D42" s="233"/>
      <c r="E42" s="233"/>
      <c r="F42" s="260"/>
      <c r="G42" s="249"/>
      <c r="H42" s="235"/>
      <c r="I42" s="235"/>
      <c r="J42" s="235"/>
      <c r="K42" s="235">
        <v>0</v>
      </c>
      <c r="L42" s="261">
        <f>ROUND(2!L35*$G23*$F10*$F$27+K42,0)</f>
        <v>0</v>
      </c>
      <c r="M42" s="261">
        <f>ROUND(2!M35*$G23*$F10*$F$27+L42,0)</f>
        <v>0</v>
      </c>
      <c r="N42" s="261">
        <f>ROUND(2!N35*$G23*$F10*$F$27+M42,0)</f>
        <v>0</v>
      </c>
      <c r="O42" s="261">
        <f>ROUND(2!O35*$G23*$F10*$F$27+N42,0)</f>
        <v>0</v>
      </c>
      <c r="P42" s="261">
        <f>ROUND(2!P35*$G23*$F10*$F$27+O42,0)</f>
        <v>0</v>
      </c>
      <c r="Q42" s="261">
        <f>ROUND(2!Q35*$G23*$F10*$F$27+P42,0)</f>
        <v>0</v>
      </c>
      <c r="R42" s="261">
        <f>ROUND(2!R35*$G23*$F10*$F$27+Q42,0)</f>
        <v>0</v>
      </c>
      <c r="S42" s="261">
        <f>ROUND(2!S35*$G23*$F10*$F$27+R42,0)</f>
        <v>0</v>
      </c>
      <c r="T42" s="261">
        <f>ROUND(2!T35*$G23*$F10*$F$27+S42,0)</f>
        <v>0</v>
      </c>
      <c r="U42" s="261">
        <f>ROUND(2!U35*$G23*$F10*$F$27+T42,0)</f>
        <v>0</v>
      </c>
      <c r="V42" s="261">
        <f>ROUND(2!V35*$G23*$F10*$F$27+U42,0)</f>
        <v>0</v>
      </c>
      <c r="W42" s="261">
        <f>ROUND(2!W35*$G23*$F10*$F$27+V42,0)</f>
        <v>0</v>
      </c>
      <c r="X42" s="261">
        <f>ROUND(2!X35*$G23*$F10*$F$27+W42,0)</f>
        <v>0</v>
      </c>
      <c r="Y42" s="261">
        <f>ROUND(2!Y35*$G23*$F10*$F$27+X42,0)</f>
        <v>0</v>
      </c>
      <c r="Z42" s="261">
        <f>ROUND(2!Z35*$G23*$F10*$F$27+Y42,0)</f>
        <v>0</v>
      </c>
      <c r="AA42" s="261">
        <f>ROUND(2!AA35*$G23*$F10*$F$27+Z42,0)</f>
        <v>0</v>
      </c>
      <c r="AB42" s="233"/>
      <c r="AC42" s="166"/>
    </row>
    <row r="43" spans="1:29" ht="15">
      <c r="A43" s="166"/>
      <c r="B43" s="166"/>
      <c r="C43" s="415"/>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166"/>
    </row>
    <row r="44" spans="1:29" ht="15">
      <c r="A44" s="263"/>
      <c r="B44" s="263" t="s">
        <v>68</v>
      </c>
      <c r="C44" s="417" t="s">
        <v>271</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63"/>
    </row>
    <row r="45" spans="1:29" ht="15">
      <c r="A45" s="166"/>
      <c r="B45" s="166"/>
      <c r="C45" s="415"/>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166"/>
    </row>
    <row r="46" spans="1:29" ht="15">
      <c r="A46" s="166"/>
      <c r="B46" s="166"/>
      <c r="C46" s="414" t="s">
        <v>288</v>
      </c>
      <c r="D46" s="233"/>
      <c r="E46" s="233"/>
      <c r="F46" s="233"/>
      <c r="G46" s="502"/>
      <c r="H46" s="540" t="s">
        <v>273</v>
      </c>
      <c r="I46" s="540"/>
      <c r="J46" s="540"/>
      <c r="K46" s="540"/>
      <c r="L46" s="233"/>
      <c r="M46" s="233"/>
      <c r="N46" s="233"/>
      <c r="O46" s="233"/>
      <c r="P46" s="233"/>
      <c r="Q46" s="233"/>
      <c r="R46" s="233"/>
      <c r="S46" s="233"/>
      <c r="T46" s="233"/>
      <c r="U46" s="233"/>
      <c r="V46" s="233"/>
      <c r="W46" s="233"/>
      <c r="X46" s="233"/>
      <c r="Y46" s="233"/>
      <c r="Z46" s="233"/>
      <c r="AA46" s="233"/>
      <c r="AB46" s="233"/>
      <c r="AC46" s="166"/>
    </row>
    <row r="47" spans="1:29" ht="25.5">
      <c r="A47" s="166"/>
      <c r="B47" s="166"/>
      <c r="C47" s="415" t="str">
        <f>2!C32</f>
        <v>Izglītības tematiskā joma „mākslas” (radošās industrijas): izglītības klasifikācijas koda 3. un 4.cipars: 21</v>
      </c>
      <c r="D47" s="233"/>
      <c r="E47" s="233"/>
      <c r="F47" s="260"/>
      <c r="G47" s="249"/>
      <c r="H47" s="235"/>
      <c r="I47" s="235"/>
      <c r="J47" s="235"/>
      <c r="K47" s="235">
        <v>0</v>
      </c>
      <c r="L47" s="259">
        <f>ROUND(2!L32*$F13,0)</f>
        <v>0</v>
      </c>
      <c r="M47" s="259">
        <f>ROUND(2!M32*$F13,0)</f>
        <v>0</v>
      </c>
      <c r="N47" s="259">
        <f>ROUND(2!N32*$F13,0)</f>
        <v>0</v>
      </c>
      <c r="O47" s="259">
        <f>ROUND(2!O32*$F13,0)</f>
        <v>0</v>
      </c>
      <c r="P47" s="259">
        <f>ROUND(2!P32*$F13,0)</f>
        <v>0</v>
      </c>
      <c r="Q47" s="259">
        <f>ROUND(2!Q32*$F13,0)</f>
        <v>0</v>
      </c>
      <c r="R47" s="259">
        <f>ROUND(2!R32*$F13,0)</f>
        <v>0</v>
      </c>
      <c r="S47" s="259">
        <f>ROUND(2!S32*$F13,0)</f>
        <v>0</v>
      </c>
      <c r="T47" s="277">
        <f>ROUND(2!T32*$F13,0)</f>
        <v>0</v>
      </c>
      <c r="U47" s="277">
        <f>ROUND(2!U32*$F13,0)</f>
        <v>0</v>
      </c>
      <c r="V47" s="277">
        <f>ROUND(2!V32*$F13,0)</f>
        <v>0</v>
      </c>
      <c r="W47" s="277">
        <f>ROUND(2!W32*$F13,0)</f>
        <v>0</v>
      </c>
      <c r="X47" s="277">
        <f>ROUND(2!X32*$F13,0)</f>
        <v>0</v>
      </c>
      <c r="Y47" s="277">
        <f>ROUND(2!Y32*$F13,0)</f>
        <v>0</v>
      </c>
      <c r="Z47" s="277">
        <f>ROUND(2!Z32*$F13,0)</f>
        <v>0</v>
      </c>
      <c r="AA47" s="277">
        <f>ROUND(2!AA32*$F13,0)</f>
        <v>0</v>
      </c>
      <c r="AB47" s="233"/>
      <c r="AC47" s="166"/>
    </row>
    <row r="48" spans="1:29" ht="25.5">
      <c r="A48" s="166"/>
      <c r="B48" s="166"/>
      <c r="C48" s="415" t="str">
        <f>2!C33</f>
        <v>Izglītības programmu grupas ar šādu izglītības klasifikācijas koda 3., 4. un 5.ciparu: “521”; “522”; “523”; “524”; “525”; “541”; “542”; “543”; “545” vai “582”:  </v>
      </c>
      <c r="D48" s="233"/>
      <c r="E48" s="233"/>
      <c r="F48" s="260"/>
      <c r="G48" s="249"/>
      <c r="H48" s="235"/>
      <c r="I48" s="235"/>
      <c r="J48" s="235"/>
      <c r="K48" s="235">
        <v>0</v>
      </c>
      <c r="L48" s="259">
        <f>ROUND(2!L33*$F14,0)</f>
        <v>0</v>
      </c>
      <c r="M48" s="259">
        <f>ROUND(2!M33*$F14,0)</f>
        <v>0</v>
      </c>
      <c r="N48" s="259">
        <f>ROUND(2!N33*$F14,0)</f>
        <v>0</v>
      </c>
      <c r="O48" s="259">
        <f>ROUND(2!O33*$F14,0)</f>
        <v>0</v>
      </c>
      <c r="P48" s="259">
        <f>ROUND(2!P33*$F14,0)</f>
        <v>0</v>
      </c>
      <c r="Q48" s="259">
        <f>ROUND(2!Q33*$F14,0)</f>
        <v>0</v>
      </c>
      <c r="R48" s="259">
        <f>ROUND(2!R33*$F14,0)</f>
        <v>0</v>
      </c>
      <c r="S48" s="259">
        <f>ROUND(2!S33*$F14,0)</f>
        <v>0</v>
      </c>
      <c r="T48" s="277">
        <f>ROUND(2!T33*$F14,0)</f>
        <v>0</v>
      </c>
      <c r="U48" s="277">
        <f>ROUND(2!U33*$F14,0)</f>
        <v>0</v>
      </c>
      <c r="V48" s="277">
        <f>ROUND(2!V33*$F14,0)</f>
        <v>0</v>
      </c>
      <c r="W48" s="277">
        <f>ROUND(2!W33*$F14,0)</f>
        <v>0</v>
      </c>
      <c r="X48" s="277">
        <f>ROUND(2!X33*$F14,0)</f>
        <v>0</v>
      </c>
      <c r="Y48" s="277">
        <f>ROUND(2!Y33*$F14,0)</f>
        <v>0</v>
      </c>
      <c r="Z48" s="277">
        <f>ROUND(2!Z33*$F14,0)</f>
        <v>0</v>
      </c>
      <c r="AA48" s="277">
        <f>ROUND(2!AA33*$F14,0)</f>
        <v>0</v>
      </c>
      <c r="AB48" s="233"/>
      <c r="AC48" s="166"/>
    </row>
    <row r="49" spans="1:29" ht="25.5">
      <c r="A49" s="166"/>
      <c r="B49" s="166"/>
      <c r="C49" s="415" t="str">
        <f>2!C34</f>
        <v>Izglītības programmu grupa  "lauksaimniecība", "mežsaimniecība", "zivjsaimniecība" vai "veterinārija" (izglītības klasifikācijas koda 3. un 4.cipars "62" vai "64")  </v>
      </c>
      <c r="D49" s="233"/>
      <c r="E49" s="233"/>
      <c r="F49" s="260"/>
      <c r="G49" s="249"/>
      <c r="H49" s="235"/>
      <c r="I49" s="235"/>
      <c r="J49" s="235"/>
      <c r="K49" s="235">
        <v>0</v>
      </c>
      <c r="L49" s="259">
        <f>ROUND(2!L34*$F15,0)</f>
        <v>0</v>
      </c>
      <c r="M49" s="259">
        <f>ROUND(2!M34*$F15,0)</f>
        <v>0</v>
      </c>
      <c r="N49" s="259">
        <f>ROUND(2!N34*$F15,0)</f>
        <v>0</v>
      </c>
      <c r="O49" s="259">
        <f>ROUND(2!O34*$F15,0)</f>
        <v>0</v>
      </c>
      <c r="P49" s="259">
        <f>ROUND(2!P34*$F15,0)</f>
        <v>0</v>
      </c>
      <c r="Q49" s="259">
        <f>ROUND(2!Q34*$F15,0)</f>
        <v>0</v>
      </c>
      <c r="R49" s="259">
        <f>ROUND(2!R34*$F15,0)</f>
        <v>0</v>
      </c>
      <c r="S49" s="259">
        <f>ROUND(2!S34*$F15,0)</f>
        <v>0</v>
      </c>
      <c r="T49" s="277">
        <f>ROUND(2!T34*$F15,0)</f>
        <v>0</v>
      </c>
      <c r="U49" s="277">
        <f>ROUND(2!U34*$F15,0)</f>
        <v>0</v>
      </c>
      <c r="V49" s="277">
        <f>ROUND(2!V34*$F15,0)</f>
        <v>0</v>
      </c>
      <c r="W49" s="277">
        <f>ROUND(2!W34*$F15,0)</f>
        <v>0</v>
      </c>
      <c r="X49" s="277">
        <f>ROUND(2!X34*$F15,0)</f>
        <v>0</v>
      </c>
      <c r="Y49" s="277">
        <f>ROUND(2!Y34*$F15,0)</f>
        <v>0</v>
      </c>
      <c r="Z49" s="277">
        <f>ROUND(2!Z34*$F15,0)</f>
        <v>0</v>
      </c>
      <c r="AA49" s="277">
        <f>ROUND(2!AA34*$F15,0)</f>
        <v>0</v>
      </c>
      <c r="AB49" s="233"/>
      <c r="AC49" s="166"/>
    </row>
    <row r="50" spans="1:29" ht="25.5">
      <c r="A50" s="166"/>
      <c r="B50" s="166"/>
      <c r="C50" s="415" t="str">
        <f>2!C35</f>
        <v>Izglītības programmu grupa: "viesnīcu un restorānu pakalpojumi"  ,  "tūrisma un atpūtas organizācija" (izglītības klasifikācijas koda 3., 4. un 5.cipars "811"  vai "812") </v>
      </c>
      <c r="D50" s="233"/>
      <c r="E50" s="233"/>
      <c r="F50" s="260"/>
      <c r="G50" s="249"/>
      <c r="H50" s="235"/>
      <c r="I50" s="235"/>
      <c r="J50" s="235"/>
      <c r="K50" s="235">
        <v>0</v>
      </c>
      <c r="L50" s="259">
        <f>ROUND(2!L35*$F16,0)</f>
        <v>0</v>
      </c>
      <c r="M50" s="259">
        <f>ROUND(2!M35*$F16,0)</f>
        <v>0</v>
      </c>
      <c r="N50" s="259">
        <f>ROUND(2!N35*$F16,0)</f>
        <v>0</v>
      </c>
      <c r="O50" s="259">
        <f>ROUND(2!O35*$F16,0)</f>
        <v>0</v>
      </c>
      <c r="P50" s="259">
        <f>ROUND(2!P35*$F16,0)</f>
        <v>0</v>
      </c>
      <c r="Q50" s="259">
        <f>ROUND(2!Q35*$F16,0)</f>
        <v>0</v>
      </c>
      <c r="R50" s="259">
        <f>ROUND(2!R35*$F16,0)</f>
        <v>0</v>
      </c>
      <c r="S50" s="259">
        <f>ROUND(2!S35*$F16,0)</f>
        <v>0</v>
      </c>
      <c r="T50" s="277">
        <f>ROUND(2!T35*$F16,0)</f>
        <v>0</v>
      </c>
      <c r="U50" s="277">
        <f>ROUND(2!U35*$F16,0)</f>
        <v>0</v>
      </c>
      <c r="V50" s="277">
        <f>ROUND(2!V35*$F16,0)</f>
        <v>0</v>
      </c>
      <c r="W50" s="277">
        <f>ROUND(2!W35*$F16,0)</f>
        <v>0</v>
      </c>
      <c r="X50" s="277">
        <f>ROUND(2!X35*$F16,0)</f>
        <v>0</v>
      </c>
      <c r="Y50" s="277">
        <f>ROUND(2!Y35*$F16,0)</f>
        <v>0</v>
      </c>
      <c r="Z50" s="277">
        <f>ROUND(2!Z35*$F16,0)</f>
        <v>0</v>
      </c>
      <c r="AA50" s="277">
        <f>ROUND(2!AA35*$F16,0)</f>
        <v>0</v>
      </c>
      <c r="AB50" s="233"/>
      <c r="AC50" s="166"/>
    </row>
    <row r="51" spans="1:29" ht="15">
      <c r="A51" s="166"/>
      <c r="B51" s="166"/>
      <c r="C51" s="225"/>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166"/>
    </row>
    <row r="52" spans="1:29" ht="15">
      <c r="A52" s="166"/>
      <c r="B52" s="166"/>
      <c r="C52" s="414" t="s">
        <v>711</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166"/>
    </row>
    <row r="53" spans="1:29" ht="15">
      <c r="A53" s="166"/>
      <c r="B53" s="166"/>
      <c r="C53" s="225"/>
      <c r="D53" s="233"/>
      <c r="E53" s="233"/>
      <c r="F53" s="233"/>
      <c r="G53" s="502"/>
      <c r="H53" s="540" t="s">
        <v>273</v>
      </c>
      <c r="I53" s="540"/>
      <c r="J53" s="540"/>
      <c r="K53" s="540"/>
      <c r="L53" s="540" t="s">
        <v>272</v>
      </c>
      <c r="M53" s="540"/>
      <c r="N53" s="540"/>
      <c r="O53" s="233"/>
      <c r="P53" s="233"/>
      <c r="Q53" s="233"/>
      <c r="R53" s="233"/>
      <c r="S53" s="233"/>
      <c r="T53" s="233"/>
      <c r="U53" s="233"/>
      <c r="V53" s="233"/>
      <c r="W53" s="233"/>
      <c r="X53" s="233"/>
      <c r="Y53" s="233"/>
      <c r="Z53" s="233"/>
      <c r="AA53" s="233"/>
      <c r="AB53" s="233"/>
      <c r="AC53" s="166"/>
    </row>
    <row r="54" spans="1:29" ht="25.5">
      <c r="A54" s="166"/>
      <c r="B54" s="166"/>
      <c r="C54" s="415" t="str">
        <f>2!C32</f>
        <v>Izglītības tematiskā joma „mākslas” (radošās industrijas): izglītības klasifikācijas koda 3. un 4.cipars: 21</v>
      </c>
      <c r="D54" s="233"/>
      <c r="E54" s="233"/>
      <c r="F54" s="233"/>
      <c r="G54" s="249"/>
      <c r="H54" s="235"/>
      <c r="I54" s="235"/>
      <c r="J54" s="235"/>
      <c r="K54" s="235">
        <v>0</v>
      </c>
      <c r="L54" s="236"/>
      <c r="M54" s="237"/>
      <c r="N54" s="237">
        <v>0</v>
      </c>
      <c r="O54" s="259">
        <f aca="true" t="shared" si="9" ref="O54:AA54">ROUND(L47*(1-$F$17*3)*$F$26+N54,0)</f>
        <v>0</v>
      </c>
      <c r="P54" s="259">
        <f t="shared" si="9"/>
        <v>0</v>
      </c>
      <c r="Q54" s="259">
        <f t="shared" si="9"/>
        <v>0</v>
      </c>
      <c r="R54" s="259">
        <f t="shared" si="9"/>
        <v>0</v>
      </c>
      <c r="S54" s="259">
        <f t="shared" si="9"/>
        <v>0</v>
      </c>
      <c r="T54" s="259">
        <f t="shared" si="9"/>
        <v>0</v>
      </c>
      <c r="U54" s="259">
        <f t="shared" si="9"/>
        <v>0</v>
      </c>
      <c r="V54" s="259">
        <f t="shared" si="9"/>
        <v>0</v>
      </c>
      <c r="W54" s="259">
        <f t="shared" si="9"/>
        <v>0</v>
      </c>
      <c r="X54" s="259">
        <f t="shared" si="9"/>
        <v>0</v>
      </c>
      <c r="Y54" s="259">
        <f t="shared" si="9"/>
        <v>0</v>
      </c>
      <c r="Z54" s="259">
        <f t="shared" si="9"/>
        <v>0</v>
      </c>
      <c r="AA54" s="259">
        <f t="shared" si="9"/>
        <v>0</v>
      </c>
      <c r="AB54" s="233"/>
      <c r="AC54" s="166"/>
    </row>
    <row r="55" spans="1:29" ht="25.5">
      <c r="A55" s="166"/>
      <c r="B55" s="166"/>
      <c r="C55" s="415" t="str">
        <f>2!C33</f>
        <v>Izglītības programmu grupas ar šādu izglītības klasifikācijas koda 3., 4. un 5.ciparu: “521”; “522”; “523”; “524”; “525”; “541”; “542”; “543”; “545” vai “582”:  </v>
      </c>
      <c r="D55" s="233"/>
      <c r="E55" s="233"/>
      <c r="F55" s="233"/>
      <c r="G55" s="249"/>
      <c r="H55" s="235"/>
      <c r="I55" s="235"/>
      <c r="J55" s="235"/>
      <c r="K55" s="235">
        <v>0</v>
      </c>
      <c r="L55" s="236"/>
      <c r="M55" s="237"/>
      <c r="N55" s="237">
        <v>0</v>
      </c>
      <c r="O55" s="259">
        <f aca="true" t="shared" si="10" ref="O55:AA55">ROUND(L48*(1-$F$17*3)*$F$26+N55,0)</f>
        <v>0</v>
      </c>
      <c r="P55" s="259">
        <f t="shared" si="10"/>
        <v>0</v>
      </c>
      <c r="Q55" s="259">
        <f t="shared" si="10"/>
        <v>0</v>
      </c>
      <c r="R55" s="259">
        <f t="shared" si="10"/>
        <v>0</v>
      </c>
      <c r="S55" s="259">
        <f t="shared" si="10"/>
        <v>0</v>
      </c>
      <c r="T55" s="259">
        <f t="shared" si="10"/>
        <v>0</v>
      </c>
      <c r="U55" s="259">
        <f t="shared" si="10"/>
        <v>0</v>
      </c>
      <c r="V55" s="259">
        <f t="shared" si="10"/>
        <v>0</v>
      </c>
      <c r="W55" s="259">
        <f t="shared" si="10"/>
        <v>0</v>
      </c>
      <c r="X55" s="259">
        <f t="shared" si="10"/>
        <v>0</v>
      </c>
      <c r="Y55" s="259">
        <f t="shared" si="10"/>
        <v>0</v>
      </c>
      <c r="Z55" s="259">
        <f t="shared" si="10"/>
        <v>0</v>
      </c>
      <c r="AA55" s="259">
        <f t="shared" si="10"/>
        <v>0</v>
      </c>
      <c r="AB55" s="233"/>
      <c r="AC55" s="166"/>
    </row>
    <row r="56" spans="1:29" ht="25.5">
      <c r="A56" s="166"/>
      <c r="B56" s="166"/>
      <c r="C56" s="415" t="str">
        <f>2!C34</f>
        <v>Izglītības programmu grupa  "lauksaimniecība", "mežsaimniecība", "zivjsaimniecība" vai "veterinārija" (izglītības klasifikācijas koda 3. un 4.cipars "62" vai "64")  </v>
      </c>
      <c r="D56" s="233"/>
      <c r="E56" s="233"/>
      <c r="F56" s="233"/>
      <c r="G56" s="249"/>
      <c r="H56" s="235"/>
      <c r="I56" s="235"/>
      <c r="J56" s="235"/>
      <c r="K56" s="235">
        <v>0</v>
      </c>
      <c r="L56" s="236"/>
      <c r="M56" s="237"/>
      <c r="N56" s="237">
        <v>0</v>
      </c>
      <c r="O56" s="259">
        <f aca="true" t="shared" si="11" ref="O56:AA56">ROUND(L49*(1-$F$17*3)*$F$26+N56,0)</f>
        <v>0</v>
      </c>
      <c r="P56" s="259">
        <f t="shared" si="11"/>
        <v>0</v>
      </c>
      <c r="Q56" s="259">
        <f t="shared" si="11"/>
        <v>0</v>
      </c>
      <c r="R56" s="259">
        <f t="shared" si="11"/>
        <v>0</v>
      </c>
      <c r="S56" s="259">
        <f t="shared" si="11"/>
        <v>0</v>
      </c>
      <c r="T56" s="259">
        <f t="shared" si="11"/>
        <v>0</v>
      </c>
      <c r="U56" s="259">
        <f t="shared" si="11"/>
        <v>0</v>
      </c>
      <c r="V56" s="259">
        <f t="shared" si="11"/>
        <v>0</v>
      </c>
      <c r="W56" s="259">
        <f t="shared" si="11"/>
        <v>0</v>
      </c>
      <c r="X56" s="259">
        <f t="shared" si="11"/>
        <v>0</v>
      </c>
      <c r="Y56" s="259">
        <f t="shared" si="11"/>
        <v>0</v>
      </c>
      <c r="Z56" s="259">
        <f t="shared" si="11"/>
        <v>0</v>
      </c>
      <c r="AA56" s="259">
        <f t="shared" si="11"/>
        <v>0</v>
      </c>
      <c r="AB56" s="233"/>
      <c r="AC56" s="166"/>
    </row>
    <row r="57" spans="1:29" ht="25.5">
      <c r="A57" s="166"/>
      <c r="B57" s="166"/>
      <c r="C57" s="415" t="str">
        <f>2!C35</f>
        <v>Izglītības programmu grupa: "viesnīcu un restorānu pakalpojumi"  ,  "tūrisma un atpūtas organizācija" (izglītības klasifikācijas koda 3., 4. un 5.cipars "811"  vai "812") </v>
      </c>
      <c r="D57" s="233"/>
      <c r="E57" s="233"/>
      <c r="F57" s="233"/>
      <c r="G57" s="249"/>
      <c r="H57" s="235"/>
      <c r="I57" s="235"/>
      <c r="J57" s="235"/>
      <c r="K57" s="235">
        <v>0</v>
      </c>
      <c r="L57" s="236"/>
      <c r="M57" s="237"/>
      <c r="N57" s="237">
        <v>0</v>
      </c>
      <c r="O57" s="259">
        <f aca="true" t="shared" si="12" ref="O57:AA57">ROUND(L50*(1-$F$17*3)*$F$26+N57,0)</f>
        <v>0</v>
      </c>
      <c r="P57" s="259">
        <f t="shared" si="12"/>
        <v>0</v>
      </c>
      <c r="Q57" s="259">
        <f t="shared" si="12"/>
        <v>0</v>
      </c>
      <c r="R57" s="259">
        <f t="shared" si="12"/>
        <v>0</v>
      </c>
      <c r="S57" s="259">
        <f t="shared" si="12"/>
        <v>0</v>
      </c>
      <c r="T57" s="259">
        <f t="shared" si="12"/>
        <v>0</v>
      </c>
      <c r="U57" s="259">
        <f t="shared" si="12"/>
        <v>0</v>
      </c>
      <c r="V57" s="259">
        <f t="shared" si="12"/>
        <v>0</v>
      </c>
      <c r="W57" s="259">
        <f t="shared" si="12"/>
        <v>0</v>
      </c>
      <c r="X57" s="259">
        <f t="shared" si="12"/>
        <v>0</v>
      </c>
      <c r="Y57" s="259">
        <f t="shared" si="12"/>
        <v>0</v>
      </c>
      <c r="Z57" s="259">
        <f t="shared" si="12"/>
        <v>0</v>
      </c>
      <c r="AA57" s="259">
        <f t="shared" si="12"/>
        <v>0</v>
      </c>
      <c r="AB57" s="233"/>
      <c r="AC57" s="166"/>
    </row>
    <row r="58" spans="1:29" ht="15">
      <c r="A58" s="166"/>
      <c r="B58" s="166"/>
      <c r="C58" s="225"/>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166"/>
    </row>
    <row r="59" spans="1:29" ht="15">
      <c r="A59" s="262"/>
      <c r="B59" s="413" t="s">
        <v>410</v>
      </c>
      <c r="C59" s="262" t="s">
        <v>303</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row>
    <row r="60" spans="1:29" ht="15">
      <c r="A60" s="166"/>
      <c r="B60" s="166"/>
      <c r="C60" s="414" t="s">
        <v>53</v>
      </c>
      <c r="D60" s="233"/>
      <c r="E60" s="166"/>
      <c r="F60" s="271"/>
      <c r="G60" s="502"/>
      <c r="H60" s="540" t="s">
        <v>273</v>
      </c>
      <c r="I60" s="540"/>
      <c r="J60" s="540"/>
      <c r="K60" s="540"/>
      <c r="L60" s="166"/>
      <c r="M60" s="166"/>
      <c r="N60" s="166"/>
      <c r="O60" s="166"/>
      <c r="P60" s="166"/>
      <c r="Q60" s="166"/>
      <c r="R60" s="166"/>
      <c r="S60" s="166"/>
      <c r="T60" s="166"/>
      <c r="U60" s="166"/>
      <c r="V60" s="166"/>
      <c r="W60" s="166"/>
      <c r="X60" s="166"/>
      <c r="Y60" s="166"/>
      <c r="Z60" s="166"/>
      <c r="AA60" s="166"/>
      <c r="AB60" s="166"/>
      <c r="AC60" s="166"/>
    </row>
    <row r="61" spans="1:29" ht="25.5">
      <c r="A61" s="166"/>
      <c r="B61" s="166"/>
      <c r="C61" s="415" t="s">
        <v>54</v>
      </c>
      <c r="D61" s="233"/>
      <c r="E61" s="166"/>
      <c r="F61" s="266"/>
      <c r="G61" s="249"/>
      <c r="H61" s="235"/>
      <c r="I61" s="235"/>
      <c r="J61" s="235"/>
      <c r="K61" s="235">
        <v>0</v>
      </c>
      <c r="L61" s="259">
        <f>ROUND('Izglītojamie - ar projektu'!H$35*'Izglītojamie - ar projektu'!$F52*(1-1!H27*4)*1!L$4,0)</f>
        <v>0</v>
      </c>
      <c r="M61" s="259">
        <f>ROUND('Izglītojamie - ar projektu'!I$35*'Izglītojamie - ar projektu'!$F52*(1-1!I27*4)*1!M$4,0)</f>
        <v>0</v>
      </c>
      <c r="N61" s="259">
        <f>ROUND('Izglītojamie - ar projektu'!J$35*'Izglītojamie - ar projektu'!$F52*(1-1!J27*4)*1!N$4,0)</f>
        <v>0</v>
      </c>
      <c r="O61" s="259">
        <f>ROUND('Izglītojamie - ar projektu'!K$35*'Izglītojamie - ar projektu'!$F52*(1-1!K27*4)*1!O$4,0)</f>
        <v>0</v>
      </c>
      <c r="P61" s="259">
        <f>ROUND('Izglītojamie - ar projektu'!L$35*'Izglītojamie - ar projektu'!$F52*(1-1!L27*4)*1!P$4,0)</f>
        <v>0</v>
      </c>
      <c r="Q61" s="259">
        <f>ROUND('Izglītojamie - ar projektu'!M$35*'Izglītojamie - ar projektu'!$F52*(1-1!M27*4)*1!Q$4,0)</f>
        <v>0</v>
      </c>
      <c r="R61" s="259">
        <f>ROUND('Izglītojamie - ar projektu'!N$35*'Izglītojamie - ar projektu'!$F52*(1-1!N27*4)*1!R$4,0)</f>
        <v>0</v>
      </c>
      <c r="S61" s="259">
        <f>ROUND('Izglītojamie - ar projektu'!O$35*'Izglītojamie - ar projektu'!$F52*(1-1!O27*4)*1!S$4,0)</f>
        <v>0</v>
      </c>
      <c r="T61" s="259">
        <f>ROUND('Izglītojamie - ar projektu'!P$35*'Izglītojamie - ar projektu'!$F52*(1-1!P27*4)*1!T$4,0)</f>
        <v>0</v>
      </c>
      <c r="U61" s="259">
        <f>ROUND('Izglītojamie - ar projektu'!Q$35*'Izglītojamie - ar projektu'!$F52*(1-1!Q27*4)*1!U$4,0)</f>
        <v>0</v>
      </c>
      <c r="V61" s="259">
        <f>ROUND('Izglītojamie - ar projektu'!R$35*'Izglītojamie - ar projektu'!$F52*(1-1!R27*4)*1!V$4,0)</f>
        <v>0</v>
      </c>
      <c r="W61" s="259">
        <f>ROUND('Izglītojamie - ar projektu'!S$35*'Izglītojamie - ar projektu'!$F52*(1-1!S27*4)*1!W$4,0)</f>
        <v>0</v>
      </c>
      <c r="X61" s="259">
        <f>ROUND('Izglītojamie - ar projektu'!T$35*'Izglītojamie - ar projektu'!$F52*(1-1!T27*4)*1!X$4,0)</f>
        <v>0</v>
      </c>
      <c r="Y61" s="259">
        <f>ROUND('Izglītojamie - ar projektu'!U$35*'Izglītojamie - ar projektu'!$F52*(1-1!U27*4)*1!Y$4,0)</f>
        <v>0</v>
      </c>
      <c r="Z61" s="259">
        <f>ROUND('Izglītojamie - ar projektu'!V$35*'Izglītojamie - ar projektu'!$F52*(1-1!V27*4)*1!Z$4,0)</f>
        <v>0</v>
      </c>
      <c r="AA61" s="259">
        <f>ROUND('Izglītojamie - ar projektu'!W$35*'Izglītojamie - ar projektu'!$F52*(1-1!W27*4)*1!AA$4,0)</f>
        <v>0</v>
      </c>
      <c r="AB61" s="166"/>
      <c r="AC61" s="166"/>
    </row>
    <row r="62" spans="1:29" ht="25.5">
      <c r="A62" s="166"/>
      <c r="B62" s="166"/>
      <c r="C62" s="415" t="s">
        <v>55</v>
      </c>
      <c r="D62" s="233"/>
      <c r="E62" s="166"/>
      <c r="F62" s="266"/>
      <c r="G62" s="249"/>
      <c r="H62" s="235"/>
      <c r="I62" s="235"/>
      <c r="J62" s="235"/>
      <c r="K62" s="235">
        <v>0</v>
      </c>
      <c r="L62" s="259">
        <f>ROUND('Izglītojamie - ar projektu'!H$35*'Izglītojamie - ar projektu'!$F53*(1-1!H28*4)*1!L$4,0)</f>
        <v>0</v>
      </c>
      <c r="M62" s="259">
        <f>ROUND('Izglītojamie - ar projektu'!I$35*'Izglītojamie - ar projektu'!$F53*(1-1!I28*4)*1!M$4,0)</f>
        <v>0</v>
      </c>
      <c r="N62" s="259">
        <f>ROUND('Izglītojamie - ar projektu'!J$35*'Izglītojamie - ar projektu'!$F53*(1-1!J28*4)*1!N$4,0)</f>
        <v>0</v>
      </c>
      <c r="O62" s="259">
        <f>ROUND('Izglītojamie - ar projektu'!K$35*'Izglītojamie - ar projektu'!$F53*(1-1!K28*4)*1!O$4,0)</f>
        <v>0</v>
      </c>
      <c r="P62" s="259">
        <f>ROUND('Izglītojamie - ar projektu'!L$35*'Izglītojamie - ar projektu'!$F53*(1-1!L28*4)*1!P$4,0)</f>
        <v>0</v>
      </c>
      <c r="Q62" s="259">
        <f>ROUND('Izglītojamie - ar projektu'!M$35*'Izglītojamie - ar projektu'!$F53*(1-1!M28*4)*1!Q$4,0)</f>
        <v>0</v>
      </c>
      <c r="R62" s="259">
        <f>ROUND('Izglītojamie - ar projektu'!N$35*'Izglītojamie - ar projektu'!$F53*(1-1!N28*4)*1!R$4,0)</f>
        <v>0</v>
      </c>
      <c r="S62" s="259">
        <f>ROUND('Izglītojamie - ar projektu'!O$35*'Izglītojamie - ar projektu'!$F53*(1-1!O28*4)*1!S$4,0)</f>
        <v>0</v>
      </c>
      <c r="T62" s="259">
        <f>ROUND('Izglītojamie - ar projektu'!P$35*'Izglītojamie - ar projektu'!$F53*(1-1!P28*4)*1!T$4,0)</f>
        <v>0</v>
      </c>
      <c r="U62" s="259">
        <f>ROUND('Izglītojamie - ar projektu'!Q$35*'Izglītojamie - ar projektu'!$F53*(1-1!Q28*4)*1!U$4,0)</f>
        <v>0</v>
      </c>
      <c r="V62" s="259">
        <f>ROUND('Izglītojamie - ar projektu'!R$35*'Izglītojamie - ar projektu'!$F53*(1-1!R28*4)*1!V$4,0)</f>
        <v>0</v>
      </c>
      <c r="W62" s="259">
        <f>ROUND('Izglītojamie - ar projektu'!S$35*'Izglītojamie - ar projektu'!$F53*(1-1!S28*4)*1!W$4,0)</f>
        <v>0</v>
      </c>
      <c r="X62" s="259">
        <f>ROUND('Izglītojamie - ar projektu'!T$35*'Izglītojamie - ar projektu'!$F53*(1-1!T28*4)*1!X$4,0)</f>
        <v>0</v>
      </c>
      <c r="Y62" s="259">
        <f>ROUND('Izglītojamie - ar projektu'!U$35*'Izglītojamie - ar projektu'!$F53*(1-1!U28*4)*1!Y$4,0)</f>
        <v>0</v>
      </c>
      <c r="Z62" s="259">
        <f>ROUND('Izglītojamie - ar projektu'!V$35*'Izglītojamie - ar projektu'!$F53*(1-1!V28*4)*1!Z$4,0)</f>
        <v>0</v>
      </c>
      <c r="AA62" s="259">
        <f>ROUND('Izglītojamie - ar projektu'!W$35*'Izglītojamie - ar projektu'!$F53*(1-1!W28*4)*1!AA$4,0)</f>
        <v>0</v>
      </c>
      <c r="AB62" s="166"/>
      <c r="AC62" s="166"/>
    </row>
    <row r="63" spans="1:29" ht="25.5">
      <c r="A63" s="166"/>
      <c r="B63" s="166"/>
      <c r="C63" s="416" t="s">
        <v>56</v>
      </c>
      <c r="D63" s="233"/>
      <c r="E63" s="166"/>
      <c r="F63" s="266"/>
      <c r="G63" s="249"/>
      <c r="H63" s="235"/>
      <c r="I63" s="235"/>
      <c r="J63" s="235"/>
      <c r="K63" s="235">
        <v>0</v>
      </c>
      <c r="L63" s="259">
        <f>ROUND('Izglītojamie - ar projektu'!H$35*'Izglītojamie - ar projektu'!$F54*(1-1!H29*4)*1!L$4,0)</f>
        <v>0</v>
      </c>
      <c r="M63" s="259">
        <f>ROUND('Izglītojamie - ar projektu'!I$35*'Izglītojamie - ar projektu'!$F54*(1-1!I29*4)*1!M$4,0)</f>
        <v>0</v>
      </c>
      <c r="N63" s="259">
        <f>ROUND('Izglītojamie - ar projektu'!J$35*'Izglītojamie - ar projektu'!$F54*(1-1!J29*4)*1!N$4,0)</f>
        <v>0</v>
      </c>
      <c r="O63" s="259">
        <f>ROUND('Izglītojamie - ar projektu'!K$35*'Izglītojamie - ar projektu'!$F54*(1-1!K29*4)*1!O$4,0)</f>
        <v>0</v>
      </c>
      <c r="P63" s="259">
        <f>ROUND('Izglītojamie - ar projektu'!L$35*'Izglītojamie - ar projektu'!$F54*(1-1!L29*4)*1!P$4,0)</f>
        <v>0</v>
      </c>
      <c r="Q63" s="259">
        <f>ROUND('Izglītojamie - ar projektu'!M$35*'Izglītojamie - ar projektu'!$F54*(1-1!M29*4)*1!Q$4,0)</f>
        <v>0</v>
      </c>
      <c r="R63" s="259">
        <f>ROUND('Izglītojamie - ar projektu'!N$35*'Izglītojamie - ar projektu'!$F54*(1-1!N29*4)*1!R$4,0)</f>
        <v>0</v>
      </c>
      <c r="S63" s="259">
        <f>ROUND('Izglītojamie - ar projektu'!O$35*'Izglītojamie - ar projektu'!$F54*(1-1!O29*4)*1!S$4,0)</f>
        <v>0</v>
      </c>
      <c r="T63" s="259">
        <f>ROUND('Izglītojamie - ar projektu'!P$35*'Izglītojamie - ar projektu'!$F54*(1-1!P29*4)*1!T$4,0)</f>
        <v>0</v>
      </c>
      <c r="U63" s="259">
        <f>ROUND('Izglītojamie - ar projektu'!Q$35*'Izglītojamie - ar projektu'!$F54*(1-1!Q29*4)*1!U$4,0)</f>
        <v>0</v>
      </c>
      <c r="V63" s="259">
        <f>ROUND('Izglītojamie - ar projektu'!R$35*'Izglītojamie - ar projektu'!$F54*(1-1!R29*4)*1!V$4,0)</f>
        <v>0</v>
      </c>
      <c r="W63" s="259">
        <f>ROUND('Izglītojamie - ar projektu'!S$35*'Izglītojamie - ar projektu'!$F54*(1-1!S29*4)*1!W$4,0)</f>
        <v>0</v>
      </c>
      <c r="X63" s="259">
        <f>ROUND('Izglītojamie - ar projektu'!T$35*'Izglītojamie - ar projektu'!$F54*(1-1!T29*4)*1!X$4,0)</f>
        <v>0</v>
      </c>
      <c r="Y63" s="259">
        <f>ROUND('Izglītojamie - ar projektu'!U$35*'Izglītojamie - ar projektu'!$F54*(1-1!U29*4)*1!Y$4,0)</f>
        <v>0</v>
      </c>
      <c r="Z63" s="259">
        <f>ROUND('Izglītojamie - ar projektu'!V$35*'Izglītojamie - ar projektu'!$F54*(1-1!V29*4)*1!Z$4,0)</f>
        <v>0</v>
      </c>
      <c r="AA63" s="259">
        <f>ROUND('Izglītojamie - ar projektu'!W$35*'Izglītojamie - ar projektu'!$F54*(1-1!W29*4)*1!AA$4,0)</f>
        <v>0</v>
      </c>
      <c r="AB63" s="166"/>
      <c r="AC63" s="166"/>
    </row>
    <row r="64" spans="1:29" ht="25.5">
      <c r="A64" s="166"/>
      <c r="B64" s="166"/>
      <c r="C64" s="416" t="s">
        <v>672</v>
      </c>
      <c r="D64" s="233"/>
      <c r="E64" s="166"/>
      <c r="F64" s="266"/>
      <c r="G64" s="249"/>
      <c r="H64" s="235"/>
      <c r="I64" s="235"/>
      <c r="J64" s="235"/>
      <c r="K64" s="235">
        <v>0</v>
      </c>
      <c r="L64" s="259">
        <f>ROUND('Izglītojamie - ar projektu'!H$35*'Izglītojamie - ar projektu'!$F55*(1-1!H30*4)*1!L$4,0)</f>
        <v>0</v>
      </c>
      <c r="M64" s="259">
        <f>ROUND('Izglītojamie - ar projektu'!I$35*'Izglītojamie - ar projektu'!$F55*(1-1!I30*4)*1!M$4,0)</f>
        <v>0</v>
      </c>
      <c r="N64" s="259">
        <f>ROUND('Izglītojamie - ar projektu'!J$35*'Izglītojamie - ar projektu'!$F55*(1-1!J30*4)*1!N$4,0)</f>
        <v>0</v>
      </c>
      <c r="O64" s="259">
        <f>ROUND('Izglītojamie - ar projektu'!K$35*'Izglītojamie - ar projektu'!$F55*(1-1!K30*4)*1!O$4,0)</f>
        <v>0</v>
      </c>
      <c r="P64" s="259">
        <f>ROUND('Izglītojamie - ar projektu'!L$35*'Izglītojamie - ar projektu'!$F55*(1-1!L30*4)*1!P$4,0)</f>
        <v>0</v>
      </c>
      <c r="Q64" s="259">
        <f>ROUND('Izglītojamie - ar projektu'!M$35*'Izglītojamie - ar projektu'!$F55*(1-1!M30*4)*1!Q$4,0)</f>
        <v>0</v>
      </c>
      <c r="R64" s="259">
        <f>ROUND('Izglītojamie - ar projektu'!N$35*'Izglītojamie - ar projektu'!$F55*(1-1!N30*4)*1!R$4,0)</f>
        <v>0</v>
      </c>
      <c r="S64" s="259">
        <f>ROUND('Izglītojamie - ar projektu'!O$35*'Izglītojamie - ar projektu'!$F55*(1-1!O30*4)*1!S$4,0)</f>
        <v>0</v>
      </c>
      <c r="T64" s="259">
        <f>ROUND('Izglītojamie - ar projektu'!P$35*'Izglītojamie - ar projektu'!$F55*(1-1!P30*4)*1!T$4,0)</f>
        <v>0</v>
      </c>
      <c r="U64" s="259">
        <f>ROUND('Izglītojamie - ar projektu'!Q$35*'Izglītojamie - ar projektu'!$F55*(1-1!Q30*4)*1!U$4,0)</f>
        <v>0</v>
      </c>
      <c r="V64" s="259">
        <f>ROUND('Izglītojamie - ar projektu'!R$35*'Izglītojamie - ar projektu'!$F55*(1-1!R30*4)*1!V$4,0)</f>
        <v>0</v>
      </c>
      <c r="W64" s="259">
        <f>ROUND('Izglītojamie - ar projektu'!S$35*'Izglītojamie - ar projektu'!$F55*(1-1!S30*4)*1!W$4,0)</f>
        <v>0</v>
      </c>
      <c r="X64" s="259">
        <f>ROUND('Izglītojamie - ar projektu'!T$35*'Izglītojamie - ar projektu'!$F55*(1-1!T30*4)*1!X$4,0)</f>
        <v>0</v>
      </c>
      <c r="Y64" s="259">
        <f>ROUND('Izglītojamie - ar projektu'!U$35*'Izglītojamie - ar projektu'!$F55*(1-1!U30*4)*1!Y$4,0)</f>
        <v>0</v>
      </c>
      <c r="Z64" s="259">
        <f>ROUND('Izglītojamie - ar projektu'!V$35*'Izglītojamie - ar projektu'!$F55*(1-1!V30*4)*1!Z$4,0)</f>
        <v>0</v>
      </c>
      <c r="AA64" s="259">
        <f>ROUND('Izglītojamie - ar projektu'!W$35*'Izglītojamie - ar projektu'!$F55*(1-1!W30*4)*1!AA$4,0)</f>
        <v>0</v>
      </c>
      <c r="AB64" s="166"/>
      <c r="AC64" s="166"/>
    </row>
    <row r="65" spans="1:29" ht="15">
      <c r="A65" s="166"/>
      <c r="B65" s="166"/>
      <c r="C65" s="166"/>
      <c r="D65" s="233"/>
      <c r="E65" s="166"/>
      <c r="F65" s="166"/>
      <c r="G65" s="264"/>
      <c r="H65" s="166"/>
      <c r="I65" s="166"/>
      <c r="J65" s="166"/>
      <c r="K65" s="166"/>
      <c r="L65" s="166"/>
      <c r="M65" s="166"/>
      <c r="N65" s="166"/>
      <c r="O65" s="166"/>
      <c r="P65" s="166"/>
      <c r="Q65" s="166"/>
      <c r="R65" s="166"/>
      <c r="S65" s="166"/>
      <c r="T65" s="166"/>
      <c r="U65" s="166"/>
      <c r="V65" s="166"/>
      <c r="W65" s="166"/>
      <c r="X65" s="166"/>
      <c r="Y65" s="166"/>
      <c r="Z65" s="166"/>
      <c r="AA65" s="166"/>
      <c r="AB65" s="166"/>
      <c r="AC65" s="166"/>
    </row>
    <row r="66" spans="1:29" ht="15">
      <c r="A66" s="263"/>
      <c r="B66" s="263" t="s">
        <v>65</v>
      </c>
      <c r="C66" s="263" t="s">
        <v>287</v>
      </c>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row>
    <row r="67" spans="1:29" ht="15">
      <c r="A67" s="166"/>
      <c r="B67" s="166"/>
      <c r="C67" s="414"/>
      <c r="D67" s="166"/>
      <c r="E67" s="166"/>
      <c r="F67" s="166"/>
      <c r="G67" s="502"/>
      <c r="H67" s="540" t="s">
        <v>273</v>
      </c>
      <c r="I67" s="540"/>
      <c r="J67" s="540"/>
      <c r="K67" s="540"/>
      <c r="L67" s="166"/>
      <c r="M67" s="166"/>
      <c r="N67" s="166"/>
      <c r="O67" s="166"/>
      <c r="P67" s="166"/>
      <c r="Q67" s="166"/>
      <c r="R67" s="166"/>
      <c r="S67" s="166"/>
      <c r="T67" s="166"/>
      <c r="U67" s="166"/>
      <c r="V67" s="166"/>
      <c r="W67" s="166"/>
      <c r="X67" s="166"/>
      <c r="Y67" s="166"/>
      <c r="Z67" s="166"/>
      <c r="AA67" s="166"/>
      <c r="AB67" s="166"/>
      <c r="AC67" s="166"/>
    </row>
    <row r="68" spans="1:29" ht="25.5">
      <c r="A68" s="166"/>
      <c r="B68" s="166"/>
      <c r="C68" s="415" t="str">
        <f>2!C61</f>
        <v>Izglītības tematiskā joma „mākslas” (radošās industrijas): izglītības klasifikācijas koda 3. un 4.cipars: 21</v>
      </c>
      <c r="D68" s="166"/>
      <c r="E68" s="166"/>
      <c r="F68" s="278"/>
      <c r="G68" s="249"/>
      <c r="H68" s="235"/>
      <c r="I68" s="235"/>
      <c r="J68" s="235"/>
      <c r="K68" s="235">
        <v>0</v>
      </c>
      <c r="L68" s="279">
        <f>ROUND(2!L61*$F20*$F7*$F$27+K68,0)</f>
        <v>0</v>
      </c>
      <c r="M68" s="279">
        <f>ROUND(2!M61*$F20*$F7*$F$27+L68,0)</f>
        <v>0</v>
      </c>
      <c r="N68" s="279">
        <f>ROUND(2!N61*$F20*$F7*$F$27+M68,0)</f>
        <v>0</v>
      </c>
      <c r="O68" s="279">
        <f>ROUND(2!O61*$F20*$F7*$F$27+N68,0)</f>
        <v>0</v>
      </c>
      <c r="P68" s="279">
        <f>ROUND(2!P61*$F20*$F7*$F$27+O68,0)</f>
        <v>0</v>
      </c>
      <c r="Q68" s="279">
        <f>ROUND(2!Q61*$F20*$F7*$F$27+P68,0)</f>
        <v>0</v>
      </c>
      <c r="R68" s="279">
        <f>ROUND(2!R61*$F20*$F7*$F$27+Q68,0)</f>
        <v>0</v>
      </c>
      <c r="S68" s="279">
        <f>ROUND(2!S61*$F20*$F7*$F$27+R68,0)</f>
        <v>0</v>
      </c>
      <c r="T68" s="279">
        <f>ROUND(2!T61*$F20*$F7*$F$27+S68,0)</f>
        <v>0</v>
      </c>
      <c r="U68" s="279">
        <f>ROUND(2!U61*$F20*$F7*$F$27+T68,0)</f>
        <v>0</v>
      </c>
      <c r="V68" s="279">
        <f>ROUND(2!V61*$F20*$F7*$F$27+U68,0)</f>
        <v>0</v>
      </c>
      <c r="W68" s="279">
        <f>ROUND(2!W61*$F20*$F7*$F$27+V68,0)</f>
        <v>0</v>
      </c>
      <c r="X68" s="279">
        <f>ROUND(2!X61*$F20*$F7*$F$27+W68,0)</f>
        <v>0</v>
      </c>
      <c r="Y68" s="279">
        <f>ROUND(2!Y61*$F20*$F7*$F$27+X68,0)</f>
        <v>0</v>
      </c>
      <c r="Z68" s="279">
        <f>ROUND(2!Z61*$F20*$F7*$F$27+Y68,0)</f>
        <v>0</v>
      </c>
      <c r="AA68" s="279">
        <f>ROUND(2!AA61*$F20*$F7*$F$27+Z68,0)</f>
        <v>0</v>
      </c>
      <c r="AB68" s="166"/>
      <c r="AC68" s="166"/>
    </row>
    <row r="69" spans="1:29" ht="25.5">
      <c r="A69" s="166"/>
      <c r="B69" s="166"/>
      <c r="C69" s="415" t="str">
        <f>2!C62</f>
        <v>Izglītības programmu grupas ar šādu izglītības klasifikācijas koda 3., 4. un 5.ciparu: “521”; “522”; “523”; “524”; “525”; “541”; “542”; “543”; “545” vai “582”:  </v>
      </c>
      <c r="D69" s="166"/>
      <c r="E69" s="166"/>
      <c r="F69" s="278"/>
      <c r="G69" s="249"/>
      <c r="H69" s="235"/>
      <c r="I69" s="235"/>
      <c r="J69" s="235"/>
      <c r="K69" s="235">
        <v>0</v>
      </c>
      <c r="L69" s="279">
        <f>ROUND(2!L62*$F21*$F8*$F$27+K69,0)</f>
        <v>0</v>
      </c>
      <c r="M69" s="279">
        <f>ROUND(2!M62*$F21*$F8*$F$27+L69,0)</f>
        <v>0</v>
      </c>
      <c r="N69" s="279">
        <f>ROUND(2!N62*$F21*$F8*$F$27+M69,0)</f>
        <v>0</v>
      </c>
      <c r="O69" s="279">
        <f>ROUND(2!O62*$F21*$F8*$F$27+N69,0)</f>
        <v>0</v>
      </c>
      <c r="P69" s="279">
        <f>ROUND(2!P62*$F21*$F8*$F$27+O69,0)</f>
        <v>0</v>
      </c>
      <c r="Q69" s="279">
        <f>ROUND(2!Q62*$F21*$F8*$F$27+P69,0)</f>
        <v>0</v>
      </c>
      <c r="R69" s="279">
        <f>ROUND(2!R62*$F21*$F8*$F$27+Q69,0)</f>
        <v>0</v>
      </c>
      <c r="S69" s="279">
        <f>ROUND(2!S62*$F21*$F8*$F$27+R69,0)</f>
        <v>0</v>
      </c>
      <c r="T69" s="279">
        <f>ROUND(2!T62*$F21*$F8*$F$27+S69,0)</f>
        <v>0</v>
      </c>
      <c r="U69" s="279">
        <f>ROUND(2!U62*$F21*$F8*$F$27+T69,0)</f>
        <v>0</v>
      </c>
      <c r="V69" s="279">
        <f>ROUND(2!V62*$F21*$F8*$F$27+U69,0)</f>
        <v>0</v>
      </c>
      <c r="W69" s="279">
        <f>ROUND(2!W62*$F21*$F8*$F$27+V69,0)</f>
        <v>0</v>
      </c>
      <c r="X69" s="279">
        <f>ROUND(2!X62*$F21*$F8*$F$27+W69,0)</f>
        <v>0</v>
      </c>
      <c r="Y69" s="279">
        <f>ROUND(2!Y62*$F21*$F8*$F$27+X69,0)</f>
        <v>0</v>
      </c>
      <c r="Z69" s="279">
        <f>ROUND(2!Z62*$F21*$F8*$F$27+Y69,0)</f>
        <v>0</v>
      </c>
      <c r="AA69" s="279">
        <f>ROUND(2!AA62*$F21*$F8*$F$27+Z69,0)</f>
        <v>0</v>
      </c>
      <c r="AB69" s="166"/>
      <c r="AC69" s="166"/>
    </row>
    <row r="70" spans="1:29" ht="25.5">
      <c r="A70" s="166"/>
      <c r="B70" s="166"/>
      <c r="C70" s="416" t="str">
        <f>2!C63</f>
        <v>Izglītības programmu grupa  "lauksaimniecība", "mežsaimniecība", "zivjsaimniecība" vai "veterinārija" (izglītības klasifikācijas koda 3. un 4.cipars "62" vai "64")  </v>
      </c>
      <c r="D70" s="166"/>
      <c r="E70" s="166"/>
      <c r="F70" s="278"/>
      <c r="G70" s="249"/>
      <c r="H70" s="235"/>
      <c r="I70" s="235"/>
      <c r="J70" s="235"/>
      <c r="K70" s="235">
        <v>0</v>
      </c>
      <c r="L70" s="279">
        <f>ROUND(2!L63*$F22*$F9*$F$27+K70,0)</f>
        <v>0</v>
      </c>
      <c r="M70" s="279">
        <f>ROUND(2!M63*$F22*$F9*$F$27+L70,0)</f>
        <v>0</v>
      </c>
      <c r="N70" s="279">
        <f>ROUND(2!N63*$F22*$F9*$F$27+M70,0)</f>
        <v>0</v>
      </c>
      <c r="O70" s="279">
        <f>ROUND(2!O63*$F22*$F9*$F$27+N70,0)</f>
        <v>0</v>
      </c>
      <c r="P70" s="279">
        <f>ROUND(2!P63*$F22*$F9*$F$27+O70,0)</f>
        <v>0</v>
      </c>
      <c r="Q70" s="279">
        <f>ROUND(2!Q63*$F22*$F9*$F$27+P70,0)</f>
        <v>0</v>
      </c>
      <c r="R70" s="279">
        <f>ROUND(2!R63*$F22*$F9*$F$27+Q70,0)</f>
        <v>0</v>
      </c>
      <c r="S70" s="279">
        <f>ROUND(2!S63*$F22*$F9*$F$27+R70,0)</f>
        <v>0</v>
      </c>
      <c r="T70" s="279">
        <f>ROUND(2!T63*$F22*$F9*$F$27+S70,0)</f>
        <v>0</v>
      </c>
      <c r="U70" s="279">
        <f>ROUND(2!U63*$F22*$F9*$F$27+T70,0)</f>
        <v>0</v>
      </c>
      <c r="V70" s="279">
        <f>ROUND(2!V63*$F22*$F9*$F$27+U70,0)</f>
        <v>0</v>
      </c>
      <c r="W70" s="279">
        <f>ROUND(2!W63*$F22*$F9*$F$27+V70,0)</f>
        <v>0</v>
      </c>
      <c r="X70" s="279">
        <f>ROUND(2!X63*$F22*$F9*$F$27+W70,0)</f>
        <v>0</v>
      </c>
      <c r="Y70" s="279">
        <f>ROUND(2!Y63*$F22*$F9*$F$27+X70,0)</f>
        <v>0</v>
      </c>
      <c r="Z70" s="279">
        <f>ROUND(2!Z63*$F22*$F9*$F$27+Y70,0)</f>
        <v>0</v>
      </c>
      <c r="AA70" s="279">
        <f>ROUND(2!AA63*$F22*$F9*$F$27+Z70,0)</f>
        <v>0</v>
      </c>
      <c r="AB70" s="166"/>
      <c r="AC70" s="166"/>
    </row>
    <row r="71" spans="1:29" ht="25.5">
      <c r="A71" s="166"/>
      <c r="B71" s="166"/>
      <c r="C71" s="416" t="str">
        <f>2!C64</f>
        <v>Izglītības programmu grupa: "viesnīcu un restorānu pakalpojumi"  ,  "tūrisma un atpūtas organizācija" (izglītības klasifikācijas koda 3., 4. un 5.cipars "811"  vai "812") </v>
      </c>
      <c r="D71" s="166"/>
      <c r="E71" s="166"/>
      <c r="F71" s="278"/>
      <c r="G71" s="249"/>
      <c r="H71" s="235"/>
      <c r="I71" s="235"/>
      <c r="J71" s="235"/>
      <c r="K71" s="235">
        <v>0</v>
      </c>
      <c r="L71" s="279">
        <f>ROUND(2!L64*$F23*$F10*$F$27+K71,0)</f>
        <v>0</v>
      </c>
      <c r="M71" s="279">
        <f>ROUND(2!M64*$F23*$F10*$F$27+L71,0)</f>
        <v>0</v>
      </c>
      <c r="N71" s="279">
        <f>ROUND(2!N64*$F23*$F10*$F$27+M71,0)</f>
        <v>0</v>
      </c>
      <c r="O71" s="279">
        <f>ROUND(2!O64*$F23*$F10*$F$27+N71,0)</f>
        <v>0</v>
      </c>
      <c r="P71" s="279">
        <f>ROUND(2!P64*$F23*$F10*$F$27+O71,0)</f>
        <v>0</v>
      </c>
      <c r="Q71" s="279">
        <f>ROUND(2!Q64*$F23*$F10*$F$27+P71,0)</f>
        <v>0</v>
      </c>
      <c r="R71" s="279">
        <f>ROUND(2!R64*$F23*$F10*$F$27+Q71,0)</f>
        <v>0</v>
      </c>
      <c r="S71" s="279">
        <f>ROUND(2!S64*$F23*$F10*$F$27+R71,0)</f>
        <v>0</v>
      </c>
      <c r="T71" s="279">
        <f>ROUND(2!T64*$F23*$F10*$F$27+S71,0)</f>
        <v>0</v>
      </c>
      <c r="U71" s="279">
        <f>ROUND(2!U64*$F23*$F10*$F$27+T71,0)</f>
        <v>0</v>
      </c>
      <c r="V71" s="279">
        <f>ROUND(2!V64*$F23*$F10*$F$27+U71,0)</f>
        <v>0</v>
      </c>
      <c r="W71" s="279">
        <f>ROUND(2!W64*$F23*$F10*$F$27+V71,0)</f>
        <v>0</v>
      </c>
      <c r="X71" s="279">
        <f>ROUND(2!X64*$F23*$F10*$F$27+W71,0)</f>
        <v>0</v>
      </c>
      <c r="Y71" s="279">
        <f>ROUND(2!Y64*$F23*$F10*$F$27+X71,0)</f>
        <v>0</v>
      </c>
      <c r="Z71" s="279">
        <f>ROUND(2!Z64*$F23*$F10*$F$27+Y71,0)</f>
        <v>0</v>
      </c>
      <c r="AA71" s="279">
        <f>ROUND(2!AA64*$F23*$F10*$F$27+Z71,0)</f>
        <v>0</v>
      </c>
      <c r="AB71" s="166"/>
      <c r="AC71" s="166"/>
    </row>
    <row r="72" spans="1:29" ht="15">
      <c r="A72" s="166"/>
      <c r="B72" s="166"/>
      <c r="C72" s="415"/>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row>
    <row r="73" spans="1:29" ht="15">
      <c r="A73" s="263"/>
      <c r="B73" s="263" t="s">
        <v>68</v>
      </c>
      <c r="C73" s="263" t="s">
        <v>674</v>
      </c>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row>
    <row r="74" spans="1:29" ht="15">
      <c r="A74" s="166"/>
      <c r="B74" s="166"/>
      <c r="C74" s="415"/>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row>
    <row r="75" spans="1:29" ht="15">
      <c r="A75" s="166"/>
      <c r="B75" s="166"/>
      <c r="C75" s="414" t="s">
        <v>288</v>
      </c>
      <c r="D75" s="166"/>
      <c r="E75" s="166"/>
      <c r="F75" s="166"/>
      <c r="G75" s="502"/>
      <c r="H75" s="540" t="s">
        <v>273</v>
      </c>
      <c r="I75" s="540"/>
      <c r="J75" s="540"/>
      <c r="K75" s="540"/>
      <c r="L75" s="166"/>
      <c r="M75" s="166"/>
      <c r="N75" s="166"/>
      <c r="O75" s="166"/>
      <c r="P75" s="166"/>
      <c r="Q75" s="166"/>
      <c r="R75" s="166"/>
      <c r="S75" s="166"/>
      <c r="T75" s="166"/>
      <c r="U75" s="166"/>
      <c r="V75" s="166"/>
      <c r="W75" s="166"/>
      <c r="X75" s="166"/>
      <c r="Y75" s="166"/>
      <c r="Z75" s="166"/>
      <c r="AA75" s="166"/>
      <c r="AB75" s="166"/>
      <c r="AC75" s="166"/>
    </row>
    <row r="76" spans="1:29" ht="25.5">
      <c r="A76" s="166"/>
      <c r="B76" s="166"/>
      <c r="C76" s="415" t="str">
        <f>2!C61</f>
        <v>Izglītības tematiskā joma „mākslas” (radošās industrijas): izglītības klasifikācijas koda 3. un 4.cipars: 21</v>
      </c>
      <c r="D76" s="166"/>
      <c r="E76" s="166"/>
      <c r="F76" s="278"/>
      <c r="G76" s="249"/>
      <c r="H76" s="235"/>
      <c r="I76" s="235"/>
      <c r="J76" s="235"/>
      <c r="K76" s="235">
        <v>0</v>
      </c>
      <c r="L76" s="277">
        <f>ROUND(2!L61*L13,0)</f>
        <v>0</v>
      </c>
      <c r="M76" s="277">
        <f>ROUND(2!M61*M13,0)</f>
        <v>0</v>
      </c>
      <c r="N76" s="277">
        <f>ROUND(2!N61*N13,0)</f>
        <v>0</v>
      </c>
      <c r="O76" s="277">
        <f>ROUND(2!O61*O13,0)</f>
        <v>0</v>
      </c>
      <c r="P76" s="277">
        <f>ROUND(2!P61*P13,0)</f>
        <v>0</v>
      </c>
      <c r="Q76" s="277">
        <f>ROUND(2!Q61*Q13,0)</f>
        <v>0</v>
      </c>
      <c r="R76" s="277">
        <f>ROUND(2!R61*R13,0)</f>
        <v>0</v>
      </c>
      <c r="S76" s="277">
        <f>ROUND(2!S61*S13,0)</f>
        <v>0</v>
      </c>
      <c r="T76" s="277">
        <f>ROUND(2!T61*T13,0)</f>
        <v>0</v>
      </c>
      <c r="U76" s="277">
        <f>ROUND(2!U61*U13,0)</f>
        <v>0</v>
      </c>
      <c r="V76" s="277">
        <f>ROUND(2!V61*V13,0)</f>
        <v>0</v>
      </c>
      <c r="W76" s="277">
        <f>ROUND(2!W61*W13,0)</f>
        <v>0</v>
      </c>
      <c r="X76" s="277">
        <f>ROUND(2!X61*X13,0)</f>
        <v>0</v>
      </c>
      <c r="Y76" s="277">
        <f>ROUND(2!Y61*Y13,0)</f>
        <v>0</v>
      </c>
      <c r="Z76" s="277">
        <f>ROUND(2!Z61*Z13,0)</f>
        <v>0</v>
      </c>
      <c r="AA76" s="277">
        <f>ROUND(2!AA61*AA13,0)</f>
        <v>0</v>
      </c>
      <c r="AB76" s="166"/>
      <c r="AC76" s="166"/>
    </row>
    <row r="77" spans="1:29" ht="25.5">
      <c r="A77" s="166"/>
      <c r="B77" s="166"/>
      <c r="C77" s="415" t="str">
        <f>2!C62</f>
        <v>Izglītības programmu grupas ar šādu izglītības klasifikācijas koda 3., 4. un 5.ciparu: “521”; “522”; “523”; “524”; “525”; “541”; “542”; “543”; “545” vai “582”:  </v>
      </c>
      <c r="D77" s="166"/>
      <c r="E77" s="166"/>
      <c r="F77" s="278"/>
      <c r="G77" s="249"/>
      <c r="H77" s="235"/>
      <c r="I77" s="235"/>
      <c r="J77" s="235"/>
      <c r="K77" s="235">
        <v>0</v>
      </c>
      <c r="L77" s="277">
        <f>ROUND(2!L62*L14,0)</f>
        <v>0</v>
      </c>
      <c r="M77" s="277">
        <f>ROUND(2!M62*M14,0)</f>
        <v>0</v>
      </c>
      <c r="N77" s="277">
        <f>ROUND(2!N62*N14,0)</f>
        <v>0</v>
      </c>
      <c r="O77" s="277">
        <f>ROUND(2!O62*O14,0)</f>
        <v>0</v>
      </c>
      <c r="P77" s="277">
        <f>ROUND(2!P62*P14,0)</f>
        <v>0</v>
      </c>
      <c r="Q77" s="277">
        <f>ROUND(2!Q62*Q14,0)</f>
        <v>0</v>
      </c>
      <c r="R77" s="277">
        <f>ROUND(2!R62*R14,0)</f>
        <v>0</v>
      </c>
      <c r="S77" s="277">
        <f>ROUND(2!S62*S14,0)</f>
        <v>0</v>
      </c>
      <c r="T77" s="277">
        <f>ROUND(2!T62*T14,0)</f>
        <v>0</v>
      </c>
      <c r="U77" s="277">
        <f>ROUND(2!U62*U14,0)</f>
        <v>0</v>
      </c>
      <c r="V77" s="277">
        <f>ROUND(2!V62*V14,0)</f>
        <v>0</v>
      </c>
      <c r="W77" s="277">
        <f>ROUND(2!W62*W14,0)</f>
        <v>0</v>
      </c>
      <c r="X77" s="277">
        <f>ROUND(2!X62*X14,0)</f>
        <v>0</v>
      </c>
      <c r="Y77" s="277">
        <f>ROUND(2!Y62*Y14,0)</f>
        <v>0</v>
      </c>
      <c r="Z77" s="277">
        <f>ROUND(2!Z62*Z14,0)</f>
        <v>0</v>
      </c>
      <c r="AA77" s="277">
        <f>ROUND(2!AA62*AA14,0)</f>
        <v>0</v>
      </c>
      <c r="AB77" s="166"/>
      <c r="AC77" s="166"/>
    </row>
    <row r="78" spans="1:29" ht="25.5">
      <c r="A78" s="166"/>
      <c r="B78" s="166"/>
      <c r="C78" s="415" t="str">
        <f>2!C63</f>
        <v>Izglītības programmu grupa  "lauksaimniecība", "mežsaimniecība", "zivjsaimniecība" vai "veterinārija" (izglītības klasifikācijas koda 3. un 4.cipars "62" vai "64")  </v>
      </c>
      <c r="D78" s="166"/>
      <c r="E78" s="166"/>
      <c r="F78" s="278"/>
      <c r="G78" s="249"/>
      <c r="H78" s="235"/>
      <c r="I78" s="235"/>
      <c r="J78" s="235"/>
      <c r="K78" s="235">
        <v>0</v>
      </c>
      <c r="L78" s="277">
        <f>ROUND(2!L63*L15,0)</f>
        <v>0</v>
      </c>
      <c r="M78" s="277">
        <f>ROUND(2!M63*M15,0)</f>
        <v>0</v>
      </c>
      <c r="N78" s="277">
        <f>ROUND(2!N63*N15,0)</f>
        <v>0</v>
      </c>
      <c r="O78" s="277">
        <f>ROUND(2!O63*O15,0)</f>
        <v>0</v>
      </c>
      <c r="P78" s="277">
        <f>ROUND(2!P63*P15,0)</f>
        <v>0</v>
      </c>
      <c r="Q78" s="277">
        <f>ROUND(2!Q63*Q15,0)</f>
        <v>0</v>
      </c>
      <c r="R78" s="277">
        <f>ROUND(2!R63*R15,0)</f>
        <v>0</v>
      </c>
      <c r="S78" s="277">
        <f>ROUND(2!S63*S15,0)</f>
        <v>0</v>
      </c>
      <c r="T78" s="277">
        <f>ROUND(2!T63*T15,0)</f>
        <v>0</v>
      </c>
      <c r="U78" s="277">
        <f>ROUND(2!U63*U15,0)</f>
        <v>0</v>
      </c>
      <c r="V78" s="277">
        <f>ROUND(2!V63*V15,0)</f>
        <v>0</v>
      </c>
      <c r="W78" s="277">
        <f>ROUND(2!W63*W15,0)</f>
        <v>0</v>
      </c>
      <c r="X78" s="277">
        <f>ROUND(2!X63*X15,0)</f>
        <v>0</v>
      </c>
      <c r="Y78" s="277">
        <f>ROUND(2!Y63*Y15,0)</f>
        <v>0</v>
      </c>
      <c r="Z78" s="277">
        <f>ROUND(2!Z63*Z15,0)</f>
        <v>0</v>
      </c>
      <c r="AA78" s="277">
        <f>ROUND(2!AA63*AA15,0)</f>
        <v>0</v>
      </c>
      <c r="AB78" s="166"/>
      <c r="AC78" s="166"/>
    </row>
    <row r="79" spans="1:29" ht="25.5">
      <c r="A79" s="166"/>
      <c r="B79" s="166"/>
      <c r="C79" s="415" t="str">
        <f>2!C64</f>
        <v>Izglītības programmu grupa: "viesnīcu un restorānu pakalpojumi"  ,  "tūrisma un atpūtas organizācija" (izglītības klasifikācijas koda 3., 4. un 5.cipars "811"  vai "812") </v>
      </c>
      <c r="D79" s="166"/>
      <c r="E79" s="166"/>
      <c r="F79" s="278"/>
      <c r="G79" s="249"/>
      <c r="H79" s="235"/>
      <c r="I79" s="235"/>
      <c r="J79" s="235"/>
      <c r="K79" s="235">
        <v>0</v>
      </c>
      <c r="L79" s="277">
        <f>ROUND(2!L64*L16,0)</f>
        <v>0</v>
      </c>
      <c r="M79" s="277">
        <f>ROUND(2!M64*M16,0)</f>
        <v>0</v>
      </c>
      <c r="N79" s="277">
        <f>ROUND(2!N64*N16,0)</f>
        <v>0</v>
      </c>
      <c r="O79" s="277">
        <f>ROUND(2!O64*O16,0)</f>
        <v>0</v>
      </c>
      <c r="P79" s="277">
        <f>ROUND(2!P64*P16,0)</f>
        <v>0</v>
      </c>
      <c r="Q79" s="277">
        <f>ROUND(2!Q64*Q16,0)</f>
        <v>0</v>
      </c>
      <c r="R79" s="277">
        <f>ROUND(2!R64*R16,0)</f>
        <v>0</v>
      </c>
      <c r="S79" s="277">
        <f>ROUND(2!S64*S16,0)</f>
        <v>0</v>
      </c>
      <c r="T79" s="277">
        <f>ROUND(2!T64*T16,0)</f>
        <v>0</v>
      </c>
      <c r="U79" s="277">
        <f>ROUND(2!U64*U16,0)</f>
        <v>0</v>
      </c>
      <c r="V79" s="277">
        <f>ROUND(2!V64*V16,0)</f>
        <v>0</v>
      </c>
      <c r="W79" s="277">
        <f>ROUND(2!W64*W16,0)</f>
        <v>0</v>
      </c>
      <c r="X79" s="277">
        <f>ROUND(2!X64*X16,0)</f>
        <v>0</v>
      </c>
      <c r="Y79" s="277">
        <f>ROUND(2!Y64*Y16,0)</f>
        <v>0</v>
      </c>
      <c r="Z79" s="277">
        <f>ROUND(2!Z64*Z16,0)</f>
        <v>0</v>
      </c>
      <c r="AA79" s="277">
        <f>ROUND(2!AA64*AA16,0)</f>
        <v>0</v>
      </c>
      <c r="AB79" s="166"/>
      <c r="AC79" s="166"/>
    </row>
    <row r="80" spans="1:29" ht="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row>
    <row r="81" spans="1:29" ht="15">
      <c r="A81" s="166"/>
      <c r="B81" s="166"/>
      <c r="C81" s="414" t="s">
        <v>711</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row>
    <row r="82" spans="1:29" ht="15">
      <c r="A82" s="166"/>
      <c r="B82" s="166"/>
      <c r="C82" s="166" t="str">
        <f>2!C60</f>
        <v>Kvalifikāciju ieguvušo skaits</v>
      </c>
      <c r="D82" s="166"/>
      <c r="E82" s="166"/>
      <c r="F82" s="166"/>
      <c r="G82" s="502"/>
      <c r="H82" s="540" t="s">
        <v>273</v>
      </c>
      <c r="I82" s="540"/>
      <c r="J82" s="540"/>
      <c r="K82" s="540"/>
      <c r="L82" s="540" t="s">
        <v>272</v>
      </c>
      <c r="M82" s="540"/>
      <c r="N82" s="540"/>
      <c r="O82" s="166"/>
      <c r="P82" s="166"/>
      <c r="Q82" s="166"/>
      <c r="R82" s="166"/>
      <c r="S82" s="166"/>
      <c r="T82" s="166"/>
      <c r="U82" s="166"/>
      <c r="V82" s="166"/>
      <c r="W82" s="166"/>
      <c r="X82" s="166"/>
      <c r="Y82" s="166"/>
      <c r="Z82" s="166"/>
      <c r="AA82" s="166"/>
      <c r="AB82" s="166"/>
      <c r="AC82" s="166"/>
    </row>
    <row r="83" spans="1:29" ht="25.5">
      <c r="A83" s="166"/>
      <c r="B83" s="166"/>
      <c r="C83" s="415" t="str">
        <f>2!C61</f>
        <v>Izglītības tematiskā joma „mākslas” (radošās industrijas): izglītības klasifikācijas koda 3. un 4.cipars: 21</v>
      </c>
      <c r="D83" s="166"/>
      <c r="E83" s="166"/>
      <c r="F83" s="166"/>
      <c r="G83" s="249"/>
      <c r="H83" s="235"/>
      <c r="I83" s="235"/>
      <c r="J83" s="235"/>
      <c r="K83" s="235">
        <v>0</v>
      </c>
      <c r="L83" s="236"/>
      <c r="M83" s="237"/>
      <c r="N83" s="237">
        <v>0</v>
      </c>
      <c r="O83" s="277">
        <f aca="true" t="shared" si="13" ref="O83:AA83">ROUND(L76*(1-$F$17*3)*$F$26+N83,0)</f>
        <v>0</v>
      </c>
      <c r="P83" s="277">
        <f t="shared" si="13"/>
        <v>0</v>
      </c>
      <c r="Q83" s="277">
        <f t="shared" si="13"/>
        <v>0</v>
      </c>
      <c r="R83" s="277">
        <f t="shared" si="13"/>
        <v>0</v>
      </c>
      <c r="S83" s="277">
        <f t="shared" si="13"/>
        <v>0</v>
      </c>
      <c r="T83" s="277">
        <f t="shared" si="13"/>
        <v>0</v>
      </c>
      <c r="U83" s="277">
        <f t="shared" si="13"/>
        <v>0</v>
      </c>
      <c r="V83" s="277">
        <f t="shared" si="13"/>
        <v>0</v>
      </c>
      <c r="W83" s="277">
        <f t="shared" si="13"/>
        <v>0</v>
      </c>
      <c r="X83" s="277">
        <f t="shared" si="13"/>
        <v>0</v>
      </c>
      <c r="Y83" s="277">
        <f t="shared" si="13"/>
        <v>0</v>
      </c>
      <c r="Z83" s="277">
        <f t="shared" si="13"/>
        <v>0</v>
      </c>
      <c r="AA83" s="277">
        <f t="shared" si="13"/>
        <v>0</v>
      </c>
      <c r="AB83" s="166"/>
      <c r="AC83" s="166"/>
    </row>
    <row r="84" spans="1:29" ht="25.5">
      <c r="A84" s="166"/>
      <c r="B84" s="166"/>
      <c r="C84" s="415" t="str">
        <f>2!C62</f>
        <v>Izglītības programmu grupas ar šādu izglītības klasifikācijas koda 3., 4. un 5.ciparu: “521”; “522”; “523”; “524”; “525”; “541”; “542”; “543”; “545” vai “582”:  </v>
      </c>
      <c r="D84" s="166"/>
      <c r="E84" s="166"/>
      <c r="F84" s="166"/>
      <c r="G84" s="249"/>
      <c r="H84" s="235"/>
      <c r="I84" s="235"/>
      <c r="J84" s="235"/>
      <c r="K84" s="235">
        <v>0</v>
      </c>
      <c r="L84" s="236"/>
      <c r="M84" s="237"/>
      <c r="N84" s="237">
        <v>0</v>
      </c>
      <c r="O84" s="277">
        <f aca="true" t="shared" si="14" ref="O84:AA84">ROUND(L77*(1-$F$17*3)*$F$26+N84,0)</f>
        <v>0</v>
      </c>
      <c r="P84" s="277">
        <f t="shared" si="14"/>
        <v>0</v>
      </c>
      <c r="Q84" s="277">
        <f t="shared" si="14"/>
        <v>0</v>
      </c>
      <c r="R84" s="277">
        <f t="shared" si="14"/>
        <v>0</v>
      </c>
      <c r="S84" s="277">
        <f t="shared" si="14"/>
        <v>0</v>
      </c>
      <c r="T84" s="277">
        <f t="shared" si="14"/>
        <v>0</v>
      </c>
      <c r="U84" s="277">
        <f t="shared" si="14"/>
        <v>0</v>
      </c>
      <c r="V84" s="277">
        <f t="shared" si="14"/>
        <v>0</v>
      </c>
      <c r="W84" s="277">
        <f t="shared" si="14"/>
        <v>0</v>
      </c>
      <c r="X84" s="277">
        <f t="shared" si="14"/>
        <v>0</v>
      </c>
      <c r="Y84" s="277">
        <f t="shared" si="14"/>
        <v>0</v>
      </c>
      <c r="Z84" s="277">
        <f t="shared" si="14"/>
        <v>0</v>
      </c>
      <c r="AA84" s="277">
        <f t="shared" si="14"/>
        <v>0</v>
      </c>
      <c r="AB84" s="166"/>
      <c r="AC84" s="166"/>
    </row>
    <row r="85" spans="1:29" ht="25.5">
      <c r="A85" s="166"/>
      <c r="B85" s="166"/>
      <c r="C85" s="415" t="str">
        <f>2!C63</f>
        <v>Izglītības programmu grupa  "lauksaimniecība", "mežsaimniecība", "zivjsaimniecība" vai "veterinārija" (izglītības klasifikācijas koda 3. un 4.cipars "62" vai "64")  </v>
      </c>
      <c r="D85" s="166"/>
      <c r="E85" s="166"/>
      <c r="F85" s="166"/>
      <c r="G85" s="249"/>
      <c r="H85" s="235"/>
      <c r="I85" s="235"/>
      <c r="J85" s="235"/>
      <c r="K85" s="235">
        <v>0</v>
      </c>
      <c r="L85" s="236"/>
      <c r="M85" s="237"/>
      <c r="N85" s="237">
        <v>0</v>
      </c>
      <c r="O85" s="277">
        <f aca="true" t="shared" si="15" ref="O85:AA85">ROUND(L78*(1-$F$17*3)*$F$26+N85,0)</f>
        <v>0</v>
      </c>
      <c r="P85" s="277">
        <f t="shared" si="15"/>
        <v>0</v>
      </c>
      <c r="Q85" s="277">
        <f t="shared" si="15"/>
        <v>0</v>
      </c>
      <c r="R85" s="277">
        <f t="shared" si="15"/>
        <v>0</v>
      </c>
      <c r="S85" s="277">
        <f t="shared" si="15"/>
        <v>0</v>
      </c>
      <c r="T85" s="277">
        <f t="shared" si="15"/>
        <v>0</v>
      </c>
      <c r="U85" s="277">
        <f t="shared" si="15"/>
        <v>0</v>
      </c>
      <c r="V85" s="277">
        <f t="shared" si="15"/>
        <v>0</v>
      </c>
      <c r="W85" s="277">
        <f t="shared" si="15"/>
        <v>0</v>
      </c>
      <c r="X85" s="277">
        <f t="shared" si="15"/>
        <v>0</v>
      </c>
      <c r="Y85" s="277">
        <f t="shared" si="15"/>
        <v>0</v>
      </c>
      <c r="Z85" s="277">
        <f t="shared" si="15"/>
        <v>0</v>
      </c>
      <c r="AA85" s="277">
        <f t="shared" si="15"/>
        <v>0</v>
      </c>
      <c r="AB85" s="166"/>
      <c r="AC85" s="166"/>
    </row>
    <row r="86" spans="1:29" ht="25.5">
      <c r="A86" s="166"/>
      <c r="B86" s="166"/>
      <c r="C86" s="415" t="str">
        <f>2!C64</f>
        <v>Izglītības programmu grupa: "viesnīcu un restorānu pakalpojumi"  ,  "tūrisma un atpūtas organizācija" (izglītības klasifikācijas koda 3., 4. un 5.cipars "811"  vai "812") </v>
      </c>
      <c r="D86" s="166"/>
      <c r="E86" s="166"/>
      <c r="F86" s="166"/>
      <c r="G86" s="249"/>
      <c r="H86" s="235"/>
      <c r="I86" s="235"/>
      <c r="J86" s="235"/>
      <c r="K86" s="235">
        <v>0</v>
      </c>
      <c r="L86" s="236"/>
      <c r="M86" s="237"/>
      <c r="N86" s="237">
        <v>0</v>
      </c>
      <c r="O86" s="277">
        <f aca="true" t="shared" si="16" ref="O86:AA86">ROUND(L79*(1-$F$17*3)*$F$26+N86,0)</f>
        <v>0</v>
      </c>
      <c r="P86" s="277">
        <f t="shared" si="16"/>
        <v>0</v>
      </c>
      <c r="Q86" s="277">
        <f t="shared" si="16"/>
        <v>0</v>
      </c>
      <c r="R86" s="277">
        <f t="shared" si="16"/>
        <v>0</v>
      </c>
      <c r="S86" s="277">
        <f t="shared" si="16"/>
        <v>0</v>
      </c>
      <c r="T86" s="277">
        <f t="shared" si="16"/>
        <v>0</v>
      </c>
      <c r="U86" s="277">
        <f t="shared" si="16"/>
        <v>0</v>
      </c>
      <c r="V86" s="277">
        <f t="shared" si="16"/>
        <v>0</v>
      </c>
      <c r="W86" s="277">
        <f t="shared" si="16"/>
        <v>0</v>
      </c>
      <c r="X86" s="277">
        <f t="shared" si="16"/>
        <v>0</v>
      </c>
      <c r="Y86" s="277">
        <f t="shared" si="16"/>
        <v>0</v>
      </c>
      <c r="Z86" s="277">
        <f t="shared" si="16"/>
        <v>0</v>
      </c>
      <c r="AA86" s="277">
        <f t="shared" si="16"/>
        <v>0</v>
      </c>
      <c r="AB86" s="166"/>
      <c r="AC86" s="166"/>
    </row>
    <row r="88" spans="1:29" ht="15">
      <c r="A88" s="262"/>
      <c r="B88" s="413" t="s">
        <v>410</v>
      </c>
      <c r="C88" s="262" t="s">
        <v>411</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row>
    <row r="90" spans="1:29" ht="15">
      <c r="A90" s="166"/>
      <c r="B90" s="166"/>
      <c r="C90" s="414" t="s">
        <v>53</v>
      </c>
      <c r="D90" s="233"/>
      <c r="E90" s="166"/>
      <c r="F90" s="271"/>
      <c r="G90" s="502"/>
      <c r="H90" s="540" t="s">
        <v>273</v>
      </c>
      <c r="I90" s="540"/>
      <c r="J90" s="540"/>
      <c r="K90" s="540"/>
      <c r="L90" s="166"/>
      <c r="M90" s="166"/>
      <c r="N90" s="166"/>
      <c r="O90" s="166"/>
      <c r="P90" s="166"/>
      <c r="Q90" s="166"/>
      <c r="R90" s="166"/>
      <c r="S90" s="166"/>
      <c r="T90" s="166"/>
      <c r="U90" s="166"/>
      <c r="V90" s="166"/>
      <c r="W90" s="166"/>
      <c r="X90" s="166"/>
      <c r="Y90" s="166"/>
      <c r="Z90" s="166"/>
      <c r="AA90" s="166"/>
      <c r="AB90" s="166"/>
      <c r="AC90" s="166"/>
    </row>
    <row r="91" spans="1:29" ht="25.5">
      <c r="A91" s="166"/>
      <c r="B91" s="166"/>
      <c r="C91" s="415" t="s">
        <v>54</v>
      </c>
      <c r="D91" s="233"/>
      <c r="E91" s="166"/>
      <c r="F91" s="266"/>
      <c r="G91" s="249"/>
      <c r="H91" s="235"/>
      <c r="I91" s="235"/>
      <c r="J91" s="235"/>
      <c r="K91" s="235">
        <v>0</v>
      </c>
      <c r="L91" s="259">
        <f aca="true" t="shared" si="17" ref="L91:Z91">L61-L32</f>
        <v>0</v>
      </c>
      <c r="M91" s="259">
        <f t="shared" si="17"/>
        <v>0</v>
      </c>
      <c r="N91" s="259">
        <f t="shared" si="17"/>
        <v>0</v>
      </c>
      <c r="O91" s="259">
        <f t="shared" si="17"/>
        <v>0</v>
      </c>
      <c r="P91" s="259">
        <f t="shared" si="17"/>
        <v>0</v>
      </c>
      <c r="Q91" s="259">
        <f t="shared" si="17"/>
        <v>0</v>
      </c>
      <c r="R91" s="259">
        <f t="shared" si="17"/>
        <v>0</v>
      </c>
      <c r="S91" s="259">
        <f t="shared" si="17"/>
        <v>0</v>
      </c>
      <c r="T91" s="259">
        <f t="shared" si="17"/>
        <v>0</v>
      </c>
      <c r="U91" s="259">
        <f t="shared" si="17"/>
        <v>0</v>
      </c>
      <c r="V91" s="259">
        <f t="shared" si="17"/>
        <v>0</v>
      </c>
      <c r="W91" s="259">
        <f t="shared" si="17"/>
        <v>0</v>
      </c>
      <c r="X91" s="259">
        <f t="shared" si="17"/>
        <v>0</v>
      </c>
      <c r="Y91" s="259">
        <f t="shared" si="17"/>
        <v>0</v>
      </c>
      <c r="Z91" s="259">
        <f t="shared" si="17"/>
        <v>0</v>
      </c>
      <c r="AA91" s="259">
        <f>AA61-AA32</f>
        <v>0</v>
      </c>
      <c r="AB91" s="166"/>
      <c r="AC91" s="166"/>
    </row>
    <row r="92" spans="1:29" ht="25.5">
      <c r="A92" s="166"/>
      <c r="B92" s="166"/>
      <c r="C92" s="415" t="s">
        <v>55</v>
      </c>
      <c r="D92" s="233"/>
      <c r="E92" s="166"/>
      <c r="F92" s="266"/>
      <c r="G92" s="249"/>
      <c r="H92" s="235"/>
      <c r="I92" s="235"/>
      <c r="J92" s="235"/>
      <c r="K92" s="235">
        <v>0</v>
      </c>
      <c r="L92" s="259">
        <f aca="true" t="shared" si="18" ref="L92:Z92">L62-L33</f>
        <v>0</v>
      </c>
      <c r="M92" s="259">
        <f t="shared" si="18"/>
        <v>0</v>
      </c>
      <c r="N92" s="259">
        <f t="shared" si="18"/>
        <v>0</v>
      </c>
      <c r="O92" s="259">
        <f t="shared" si="18"/>
        <v>0</v>
      </c>
      <c r="P92" s="259">
        <f t="shared" si="18"/>
        <v>0</v>
      </c>
      <c r="Q92" s="259">
        <f t="shared" si="18"/>
        <v>0</v>
      </c>
      <c r="R92" s="259">
        <f t="shared" si="18"/>
        <v>0</v>
      </c>
      <c r="S92" s="259">
        <f t="shared" si="18"/>
        <v>0</v>
      </c>
      <c r="T92" s="259">
        <f t="shared" si="18"/>
        <v>0</v>
      </c>
      <c r="U92" s="259">
        <f t="shared" si="18"/>
        <v>0</v>
      </c>
      <c r="V92" s="259">
        <f t="shared" si="18"/>
        <v>0</v>
      </c>
      <c r="W92" s="259">
        <f t="shared" si="18"/>
        <v>0</v>
      </c>
      <c r="X92" s="259">
        <f t="shared" si="18"/>
        <v>0</v>
      </c>
      <c r="Y92" s="259">
        <f t="shared" si="18"/>
        <v>0</v>
      </c>
      <c r="Z92" s="259">
        <f t="shared" si="18"/>
        <v>0</v>
      </c>
      <c r="AA92" s="259">
        <f>AA62-AA33</f>
        <v>0</v>
      </c>
      <c r="AB92" s="166"/>
      <c r="AC92" s="166"/>
    </row>
    <row r="93" spans="1:29" ht="25.5">
      <c r="A93" s="166"/>
      <c r="B93" s="166"/>
      <c r="C93" s="416" t="s">
        <v>56</v>
      </c>
      <c r="D93" s="233"/>
      <c r="E93" s="166"/>
      <c r="F93" s="266"/>
      <c r="G93" s="249"/>
      <c r="H93" s="235"/>
      <c r="I93" s="235"/>
      <c r="J93" s="235"/>
      <c r="K93" s="235">
        <v>0</v>
      </c>
      <c r="L93" s="259">
        <f aca="true" t="shared" si="19" ref="L93:Z93">L63-L34</f>
        <v>0</v>
      </c>
      <c r="M93" s="259">
        <f t="shared" si="19"/>
        <v>0</v>
      </c>
      <c r="N93" s="259">
        <f t="shared" si="19"/>
        <v>0</v>
      </c>
      <c r="O93" s="259">
        <f t="shared" si="19"/>
        <v>0</v>
      </c>
      <c r="P93" s="259">
        <f t="shared" si="19"/>
        <v>0</v>
      </c>
      <c r="Q93" s="259">
        <f t="shared" si="19"/>
        <v>0</v>
      </c>
      <c r="R93" s="259">
        <f t="shared" si="19"/>
        <v>0</v>
      </c>
      <c r="S93" s="259">
        <f t="shared" si="19"/>
        <v>0</v>
      </c>
      <c r="T93" s="259">
        <f t="shared" si="19"/>
        <v>0</v>
      </c>
      <c r="U93" s="259">
        <f t="shared" si="19"/>
        <v>0</v>
      </c>
      <c r="V93" s="259">
        <f t="shared" si="19"/>
        <v>0</v>
      </c>
      <c r="W93" s="259">
        <f t="shared" si="19"/>
        <v>0</v>
      </c>
      <c r="X93" s="259">
        <f t="shared" si="19"/>
        <v>0</v>
      </c>
      <c r="Y93" s="259">
        <f t="shared" si="19"/>
        <v>0</v>
      </c>
      <c r="Z93" s="259">
        <f t="shared" si="19"/>
        <v>0</v>
      </c>
      <c r="AA93" s="259">
        <f>AA63-AA34</f>
        <v>0</v>
      </c>
      <c r="AB93" s="166"/>
      <c r="AC93" s="166"/>
    </row>
    <row r="94" spans="1:29" ht="25.5">
      <c r="A94" s="166"/>
      <c r="B94" s="166"/>
      <c r="C94" s="416" t="s">
        <v>672</v>
      </c>
      <c r="D94" s="233"/>
      <c r="E94" s="166"/>
      <c r="F94" s="266"/>
      <c r="G94" s="249"/>
      <c r="H94" s="235"/>
      <c r="I94" s="235"/>
      <c r="J94" s="235"/>
      <c r="K94" s="235">
        <v>0</v>
      </c>
      <c r="L94" s="259">
        <f aca="true" t="shared" si="20" ref="L94:Z94">L64-L35</f>
        <v>0</v>
      </c>
      <c r="M94" s="259">
        <f t="shared" si="20"/>
        <v>0</v>
      </c>
      <c r="N94" s="259">
        <f t="shared" si="20"/>
        <v>0</v>
      </c>
      <c r="O94" s="259">
        <f t="shared" si="20"/>
        <v>0</v>
      </c>
      <c r="P94" s="259">
        <f t="shared" si="20"/>
        <v>0</v>
      </c>
      <c r="Q94" s="259">
        <f t="shared" si="20"/>
        <v>0</v>
      </c>
      <c r="R94" s="259">
        <f t="shared" si="20"/>
        <v>0</v>
      </c>
      <c r="S94" s="259">
        <f t="shared" si="20"/>
        <v>0</v>
      </c>
      <c r="T94" s="259">
        <f t="shared" si="20"/>
        <v>0</v>
      </c>
      <c r="U94" s="259">
        <f t="shared" si="20"/>
        <v>0</v>
      </c>
      <c r="V94" s="259">
        <f t="shared" si="20"/>
        <v>0</v>
      </c>
      <c r="W94" s="259">
        <f t="shared" si="20"/>
        <v>0</v>
      </c>
      <c r="X94" s="259">
        <f t="shared" si="20"/>
        <v>0</v>
      </c>
      <c r="Y94" s="259">
        <f t="shared" si="20"/>
        <v>0</v>
      </c>
      <c r="Z94" s="259">
        <f t="shared" si="20"/>
        <v>0</v>
      </c>
      <c r="AA94" s="259">
        <f>AA64-AA35</f>
        <v>0</v>
      </c>
      <c r="AB94" s="166"/>
      <c r="AC94" s="166"/>
    </row>
    <row r="95" spans="1:29" ht="15">
      <c r="A95" s="166"/>
      <c r="B95" s="166"/>
      <c r="C95" s="166"/>
      <c r="D95" s="233"/>
      <c r="E95" s="166"/>
      <c r="F95" s="166"/>
      <c r="G95" s="264"/>
      <c r="H95" s="166"/>
      <c r="I95" s="166"/>
      <c r="J95" s="166"/>
      <c r="K95" s="166"/>
      <c r="L95" s="166"/>
      <c r="M95" s="166"/>
      <c r="N95" s="166"/>
      <c r="O95" s="166"/>
      <c r="P95" s="166"/>
      <c r="Q95" s="166"/>
      <c r="R95" s="166"/>
      <c r="S95" s="166"/>
      <c r="T95" s="166"/>
      <c r="U95" s="166"/>
      <c r="V95" s="166"/>
      <c r="W95" s="166"/>
      <c r="X95" s="166"/>
      <c r="Y95" s="166"/>
      <c r="Z95" s="166"/>
      <c r="AA95" s="166"/>
      <c r="AB95" s="166"/>
      <c r="AC95" s="166"/>
    </row>
    <row r="96" spans="1:29" ht="15">
      <c r="A96" s="263"/>
      <c r="B96" s="263" t="s">
        <v>65</v>
      </c>
      <c r="C96" s="263" t="s">
        <v>413</v>
      </c>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row>
    <row r="97" spans="1:29" ht="15">
      <c r="A97" s="166"/>
      <c r="B97" s="166"/>
      <c r="C97" s="414"/>
      <c r="D97" s="166"/>
      <c r="E97" s="166"/>
      <c r="F97" s="166"/>
      <c r="G97" s="502"/>
      <c r="H97" s="540" t="s">
        <v>273</v>
      </c>
      <c r="I97" s="540"/>
      <c r="J97" s="540"/>
      <c r="K97" s="540"/>
      <c r="L97" s="166"/>
      <c r="M97" s="166"/>
      <c r="N97" s="166"/>
      <c r="O97" s="166"/>
      <c r="P97" s="166"/>
      <c r="Q97" s="166"/>
      <c r="R97" s="166"/>
      <c r="S97" s="166"/>
      <c r="T97" s="166"/>
      <c r="U97" s="166"/>
      <c r="V97" s="166"/>
      <c r="W97" s="166"/>
      <c r="X97" s="166"/>
      <c r="Y97" s="166"/>
      <c r="Z97" s="166"/>
      <c r="AA97" s="166"/>
      <c r="AB97" s="166"/>
      <c r="AC97" s="166"/>
    </row>
    <row r="98" spans="1:29" ht="25.5">
      <c r="A98" s="166"/>
      <c r="B98" s="166"/>
      <c r="C98" s="415" t="str">
        <f>2!C91</f>
        <v>Izglītības tematiskā joma „mākslas” (radošās industrijas): izglītības klasifikācijas koda 3. un 4.cipars: 21</v>
      </c>
      <c r="D98" s="166"/>
      <c r="E98" s="166"/>
      <c r="F98" s="278"/>
      <c r="G98" s="249"/>
      <c r="H98" s="235"/>
      <c r="I98" s="235"/>
      <c r="J98" s="235"/>
      <c r="K98" s="235">
        <v>0</v>
      </c>
      <c r="L98" s="279">
        <f aca="true" t="shared" si="21" ref="L98:Z98">L68-L39</f>
        <v>0</v>
      </c>
      <c r="M98" s="279">
        <f t="shared" si="21"/>
        <v>0</v>
      </c>
      <c r="N98" s="279">
        <f t="shared" si="21"/>
        <v>0</v>
      </c>
      <c r="O98" s="279">
        <f t="shared" si="21"/>
        <v>0</v>
      </c>
      <c r="P98" s="279">
        <f t="shared" si="21"/>
        <v>0</v>
      </c>
      <c r="Q98" s="279">
        <f t="shared" si="21"/>
        <v>0</v>
      </c>
      <c r="R98" s="279">
        <f t="shared" si="21"/>
        <v>0</v>
      </c>
      <c r="S98" s="279">
        <f t="shared" si="21"/>
        <v>0</v>
      </c>
      <c r="T98" s="279">
        <f t="shared" si="21"/>
        <v>0</v>
      </c>
      <c r="U98" s="279">
        <f t="shared" si="21"/>
        <v>0</v>
      </c>
      <c r="V98" s="279">
        <f t="shared" si="21"/>
        <v>0</v>
      </c>
      <c r="W98" s="279">
        <f t="shared" si="21"/>
        <v>0</v>
      </c>
      <c r="X98" s="279">
        <f t="shared" si="21"/>
        <v>0</v>
      </c>
      <c r="Y98" s="279">
        <f t="shared" si="21"/>
        <v>0</v>
      </c>
      <c r="Z98" s="279">
        <f t="shared" si="21"/>
        <v>0</v>
      </c>
      <c r="AA98" s="279">
        <f>AA68-AA39</f>
        <v>0</v>
      </c>
      <c r="AB98" s="166"/>
      <c r="AC98" s="166"/>
    </row>
    <row r="99" spans="1:29" ht="25.5">
      <c r="A99" s="166"/>
      <c r="B99" s="166"/>
      <c r="C99" s="415" t="str">
        <f>2!C92</f>
        <v>Izglītības programmu grupas ar šādu izglītības klasifikācijas koda 3., 4. un 5.ciparu: “521”; “522”; “523”; “524”; “525”; “541”; “542”; “543”; “545” vai “582”:  </v>
      </c>
      <c r="D99" s="166"/>
      <c r="E99" s="166"/>
      <c r="F99" s="278"/>
      <c r="G99" s="249"/>
      <c r="H99" s="235"/>
      <c r="I99" s="235"/>
      <c r="J99" s="235"/>
      <c r="K99" s="235">
        <v>0</v>
      </c>
      <c r="L99" s="279">
        <f aca="true" t="shared" si="22" ref="L99:Z99">L69-L40</f>
        <v>0</v>
      </c>
      <c r="M99" s="279">
        <f t="shared" si="22"/>
        <v>0</v>
      </c>
      <c r="N99" s="279">
        <f t="shared" si="22"/>
        <v>0</v>
      </c>
      <c r="O99" s="279">
        <f t="shared" si="22"/>
        <v>0</v>
      </c>
      <c r="P99" s="279">
        <f t="shared" si="22"/>
        <v>0</v>
      </c>
      <c r="Q99" s="279">
        <f t="shared" si="22"/>
        <v>0</v>
      </c>
      <c r="R99" s="279">
        <f t="shared" si="22"/>
        <v>0</v>
      </c>
      <c r="S99" s="279">
        <f t="shared" si="22"/>
        <v>0</v>
      </c>
      <c r="T99" s="279">
        <f t="shared" si="22"/>
        <v>0</v>
      </c>
      <c r="U99" s="279">
        <f t="shared" si="22"/>
        <v>0</v>
      </c>
      <c r="V99" s="279">
        <f t="shared" si="22"/>
        <v>0</v>
      </c>
      <c r="W99" s="279">
        <f t="shared" si="22"/>
        <v>0</v>
      </c>
      <c r="X99" s="279">
        <f t="shared" si="22"/>
        <v>0</v>
      </c>
      <c r="Y99" s="279">
        <f t="shared" si="22"/>
        <v>0</v>
      </c>
      <c r="Z99" s="279">
        <f t="shared" si="22"/>
        <v>0</v>
      </c>
      <c r="AA99" s="279">
        <f>AA69-AA40</f>
        <v>0</v>
      </c>
      <c r="AB99" s="166"/>
      <c r="AC99" s="166"/>
    </row>
    <row r="100" spans="1:29" ht="25.5">
      <c r="A100" s="166"/>
      <c r="B100" s="166"/>
      <c r="C100" s="416" t="str">
        <f>2!C93</f>
        <v>Izglītības programmu grupa  "lauksaimniecība", "mežsaimniecība", "zivjsaimniecība" vai "veterinārija" (izglītības klasifikācijas koda 3. un 4.cipars "62" vai "64")  </v>
      </c>
      <c r="D100" s="166"/>
      <c r="E100" s="166"/>
      <c r="F100" s="278"/>
      <c r="G100" s="249"/>
      <c r="H100" s="235"/>
      <c r="I100" s="235"/>
      <c r="J100" s="235"/>
      <c r="K100" s="235">
        <v>0</v>
      </c>
      <c r="L100" s="279">
        <f aca="true" t="shared" si="23" ref="L100:Z100">L70-L41</f>
        <v>0</v>
      </c>
      <c r="M100" s="279">
        <f t="shared" si="23"/>
        <v>0</v>
      </c>
      <c r="N100" s="279">
        <f t="shared" si="23"/>
        <v>0</v>
      </c>
      <c r="O100" s="279">
        <f t="shared" si="23"/>
        <v>0</v>
      </c>
      <c r="P100" s="279">
        <f t="shared" si="23"/>
        <v>0</v>
      </c>
      <c r="Q100" s="279">
        <f t="shared" si="23"/>
        <v>0</v>
      </c>
      <c r="R100" s="279">
        <f t="shared" si="23"/>
        <v>0</v>
      </c>
      <c r="S100" s="279">
        <f t="shared" si="23"/>
        <v>0</v>
      </c>
      <c r="T100" s="279">
        <f t="shared" si="23"/>
        <v>0</v>
      </c>
      <c r="U100" s="279">
        <f t="shared" si="23"/>
        <v>0</v>
      </c>
      <c r="V100" s="279">
        <f t="shared" si="23"/>
        <v>0</v>
      </c>
      <c r="W100" s="279">
        <f t="shared" si="23"/>
        <v>0</v>
      </c>
      <c r="X100" s="279">
        <f t="shared" si="23"/>
        <v>0</v>
      </c>
      <c r="Y100" s="279">
        <f t="shared" si="23"/>
        <v>0</v>
      </c>
      <c r="Z100" s="279">
        <f t="shared" si="23"/>
        <v>0</v>
      </c>
      <c r="AA100" s="279">
        <f>AA70-AA41</f>
        <v>0</v>
      </c>
      <c r="AB100" s="166"/>
      <c r="AC100" s="166"/>
    </row>
    <row r="101" spans="1:29" ht="25.5">
      <c r="A101" s="166"/>
      <c r="B101" s="166"/>
      <c r="C101" s="416" t="str">
        <f>2!C94</f>
        <v>Izglītības programmu grupa: "viesnīcu un restorānu pakalpojumi"  ,  "tūrisma un atpūtas organizācija" (izglītības klasifikācijas koda 3., 4. un 5.cipars "811"  vai "812") </v>
      </c>
      <c r="D101" s="166"/>
      <c r="E101" s="166"/>
      <c r="F101" s="278"/>
      <c r="G101" s="249"/>
      <c r="H101" s="235"/>
      <c r="I101" s="235"/>
      <c r="J101" s="235"/>
      <c r="K101" s="235">
        <v>0</v>
      </c>
      <c r="L101" s="279">
        <f aca="true" t="shared" si="24" ref="L101:Z101">L71-L42</f>
        <v>0</v>
      </c>
      <c r="M101" s="279">
        <f t="shared" si="24"/>
        <v>0</v>
      </c>
      <c r="N101" s="279">
        <f t="shared" si="24"/>
        <v>0</v>
      </c>
      <c r="O101" s="279">
        <f t="shared" si="24"/>
        <v>0</v>
      </c>
      <c r="P101" s="279">
        <f t="shared" si="24"/>
        <v>0</v>
      </c>
      <c r="Q101" s="279">
        <f t="shared" si="24"/>
        <v>0</v>
      </c>
      <c r="R101" s="279">
        <f t="shared" si="24"/>
        <v>0</v>
      </c>
      <c r="S101" s="279">
        <f t="shared" si="24"/>
        <v>0</v>
      </c>
      <c r="T101" s="279">
        <f t="shared" si="24"/>
        <v>0</v>
      </c>
      <c r="U101" s="279">
        <f t="shared" si="24"/>
        <v>0</v>
      </c>
      <c r="V101" s="279">
        <f t="shared" si="24"/>
        <v>0</v>
      </c>
      <c r="W101" s="279">
        <f t="shared" si="24"/>
        <v>0</v>
      </c>
      <c r="X101" s="279">
        <f t="shared" si="24"/>
        <v>0</v>
      </c>
      <c r="Y101" s="279">
        <f t="shared" si="24"/>
        <v>0</v>
      </c>
      <c r="Z101" s="279">
        <f t="shared" si="24"/>
        <v>0</v>
      </c>
      <c r="AA101" s="279">
        <f>AA71-AA42</f>
        <v>0</v>
      </c>
      <c r="AB101" s="166"/>
      <c r="AC101" s="166"/>
    </row>
    <row r="102" spans="1:29" ht="15">
      <c r="A102" s="166"/>
      <c r="B102" s="166"/>
      <c r="C102" s="415"/>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row>
    <row r="103" spans="1:29" ht="15">
      <c r="A103" s="263"/>
      <c r="B103" s="263" t="s">
        <v>68</v>
      </c>
      <c r="C103" s="263" t="s">
        <v>673</v>
      </c>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row>
    <row r="104" spans="1:29" ht="15">
      <c r="A104" s="166"/>
      <c r="B104" s="166"/>
      <c r="C104" s="415"/>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row>
    <row r="105" spans="1:29" ht="15">
      <c r="A105" s="166"/>
      <c r="B105" s="166"/>
      <c r="C105" s="166"/>
      <c r="D105" s="166"/>
      <c r="E105" s="166"/>
      <c r="F105" s="166"/>
      <c r="G105" s="502"/>
      <c r="H105" s="540" t="s">
        <v>273</v>
      </c>
      <c r="I105" s="540"/>
      <c r="J105" s="540"/>
      <c r="K105" s="540"/>
      <c r="L105" s="540" t="s">
        <v>272</v>
      </c>
      <c r="M105" s="540"/>
      <c r="N105" s="540"/>
      <c r="O105" s="166"/>
      <c r="P105" s="166"/>
      <c r="Q105" s="166"/>
      <c r="R105" s="166"/>
      <c r="S105" s="166"/>
      <c r="T105" s="166"/>
      <c r="U105" s="166"/>
      <c r="V105" s="166"/>
      <c r="W105" s="166"/>
      <c r="X105" s="166"/>
      <c r="Y105" s="166"/>
      <c r="Z105" s="166"/>
      <c r="AA105" s="166"/>
      <c r="AB105" s="166"/>
      <c r="AC105" s="166"/>
    </row>
    <row r="106" spans="1:29" ht="25.5">
      <c r="A106" s="166"/>
      <c r="B106" s="166"/>
      <c r="C106" s="415" t="str">
        <f>2!C91</f>
        <v>Izglītības tematiskā joma „mākslas” (radošās industrijas): izglītības klasifikācijas koda 3. un 4.cipars: 21</v>
      </c>
      <c r="D106" s="166"/>
      <c r="E106" s="166"/>
      <c r="F106" s="166"/>
      <c r="G106" s="249"/>
      <c r="H106" s="235"/>
      <c r="I106" s="235"/>
      <c r="J106" s="235"/>
      <c r="K106" s="235">
        <v>0</v>
      </c>
      <c r="L106" s="236"/>
      <c r="M106" s="237"/>
      <c r="N106" s="237">
        <v>0</v>
      </c>
      <c r="O106" s="277">
        <f aca="true" t="shared" si="25" ref="O106:Z106">O83-O54</f>
        <v>0</v>
      </c>
      <c r="P106" s="277">
        <f t="shared" si="25"/>
        <v>0</v>
      </c>
      <c r="Q106" s="277">
        <f t="shared" si="25"/>
        <v>0</v>
      </c>
      <c r="R106" s="277">
        <f t="shared" si="25"/>
        <v>0</v>
      </c>
      <c r="S106" s="277">
        <f t="shared" si="25"/>
        <v>0</v>
      </c>
      <c r="T106" s="277">
        <f t="shared" si="25"/>
        <v>0</v>
      </c>
      <c r="U106" s="277">
        <f t="shared" si="25"/>
        <v>0</v>
      </c>
      <c r="V106" s="277">
        <f t="shared" si="25"/>
        <v>0</v>
      </c>
      <c r="W106" s="277">
        <f t="shared" si="25"/>
        <v>0</v>
      </c>
      <c r="X106" s="277">
        <f t="shared" si="25"/>
        <v>0</v>
      </c>
      <c r="Y106" s="277">
        <f t="shared" si="25"/>
        <v>0</v>
      </c>
      <c r="Z106" s="277">
        <f t="shared" si="25"/>
        <v>0</v>
      </c>
      <c r="AA106" s="277">
        <f>AA83-AA54</f>
        <v>0</v>
      </c>
      <c r="AB106" s="166"/>
      <c r="AC106" s="166"/>
    </row>
    <row r="107" spans="1:29" ht="25.5">
      <c r="A107" s="166"/>
      <c r="B107" s="166"/>
      <c r="C107" s="415" t="str">
        <f>2!C92</f>
        <v>Izglītības programmu grupas ar šādu izglītības klasifikācijas koda 3., 4. un 5.ciparu: “521”; “522”; “523”; “524”; “525”; “541”; “542”; “543”; “545” vai “582”:  </v>
      </c>
      <c r="D107" s="166"/>
      <c r="E107" s="166"/>
      <c r="F107" s="166"/>
      <c r="G107" s="249"/>
      <c r="H107" s="235"/>
      <c r="I107" s="235"/>
      <c r="J107" s="235"/>
      <c r="K107" s="235">
        <v>0</v>
      </c>
      <c r="L107" s="236"/>
      <c r="M107" s="237"/>
      <c r="N107" s="237">
        <v>0</v>
      </c>
      <c r="O107" s="277">
        <f aca="true" t="shared" si="26" ref="O107:Z107">O84-O55</f>
        <v>0</v>
      </c>
      <c r="P107" s="277">
        <f t="shared" si="26"/>
        <v>0</v>
      </c>
      <c r="Q107" s="277">
        <f t="shared" si="26"/>
        <v>0</v>
      </c>
      <c r="R107" s="277">
        <f t="shared" si="26"/>
        <v>0</v>
      </c>
      <c r="S107" s="277">
        <f t="shared" si="26"/>
        <v>0</v>
      </c>
      <c r="T107" s="277">
        <f t="shared" si="26"/>
        <v>0</v>
      </c>
      <c r="U107" s="277">
        <f t="shared" si="26"/>
        <v>0</v>
      </c>
      <c r="V107" s="277">
        <f t="shared" si="26"/>
        <v>0</v>
      </c>
      <c r="W107" s="277">
        <f t="shared" si="26"/>
        <v>0</v>
      </c>
      <c r="X107" s="277">
        <f t="shared" si="26"/>
        <v>0</v>
      </c>
      <c r="Y107" s="277">
        <f t="shared" si="26"/>
        <v>0</v>
      </c>
      <c r="Z107" s="277">
        <f t="shared" si="26"/>
        <v>0</v>
      </c>
      <c r="AA107" s="277">
        <f>AA84-AA55</f>
        <v>0</v>
      </c>
      <c r="AB107" s="166"/>
      <c r="AC107" s="166"/>
    </row>
    <row r="108" spans="1:29" ht="25.5">
      <c r="A108" s="166"/>
      <c r="B108" s="166"/>
      <c r="C108" s="415" t="str">
        <f>2!C93</f>
        <v>Izglītības programmu grupa  "lauksaimniecība", "mežsaimniecība", "zivjsaimniecība" vai "veterinārija" (izglītības klasifikācijas koda 3. un 4.cipars "62" vai "64")  </v>
      </c>
      <c r="D108" s="166"/>
      <c r="E108" s="166"/>
      <c r="F108" s="166"/>
      <c r="G108" s="249"/>
      <c r="H108" s="235"/>
      <c r="I108" s="235"/>
      <c r="J108" s="235"/>
      <c r="K108" s="235">
        <v>0</v>
      </c>
      <c r="L108" s="236"/>
      <c r="M108" s="237"/>
      <c r="N108" s="237">
        <v>0</v>
      </c>
      <c r="O108" s="277">
        <f aca="true" t="shared" si="27" ref="O108:Z108">O85-O56</f>
        <v>0</v>
      </c>
      <c r="P108" s="277">
        <f t="shared" si="27"/>
        <v>0</v>
      </c>
      <c r="Q108" s="277">
        <f t="shared" si="27"/>
        <v>0</v>
      </c>
      <c r="R108" s="277">
        <f t="shared" si="27"/>
        <v>0</v>
      </c>
      <c r="S108" s="277">
        <f t="shared" si="27"/>
        <v>0</v>
      </c>
      <c r="T108" s="277">
        <f t="shared" si="27"/>
        <v>0</v>
      </c>
      <c r="U108" s="277">
        <f t="shared" si="27"/>
        <v>0</v>
      </c>
      <c r="V108" s="277">
        <f t="shared" si="27"/>
        <v>0</v>
      </c>
      <c r="W108" s="277">
        <f t="shared" si="27"/>
        <v>0</v>
      </c>
      <c r="X108" s="277">
        <f t="shared" si="27"/>
        <v>0</v>
      </c>
      <c r="Y108" s="277">
        <f t="shared" si="27"/>
        <v>0</v>
      </c>
      <c r="Z108" s="277">
        <f t="shared" si="27"/>
        <v>0</v>
      </c>
      <c r="AA108" s="277">
        <f>AA85-AA56</f>
        <v>0</v>
      </c>
      <c r="AB108" s="166"/>
      <c r="AC108" s="166"/>
    </row>
    <row r="109" spans="1:29" ht="25.5">
      <c r="A109" s="166"/>
      <c r="B109" s="166"/>
      <c r="C109" s="415" t="str">
        <f>2!C94</f>
        <v>Izglītības programmu grupa: "viesnīcu un restorānu pakalpojumi"  ,  "tūrisma un atpūtas organizācija" (izglītības klasifikācijas koda 3., 4. un 5.cipars "811"  vai "812") </v>
      </c>
      <c r="D109" s="166"/>
      <c r="E109" s="166"/>
      <c r="F109" s="166"/>
      <c r="G109" s="249"/>
      <c r="H109" s="235"/>
      <c r="I109" s="235"/>
      <c r="J109" s="235"/>
      <c r="K109" s="235">
        <v>0</v>
      </c>
      <c r="L109" s="236"/>
      <c r="M109" s="237"/>
      <c r="N109" s="237">
        <v>0</v>
      </c>
      <c r="O109" s="277">
        <f aca="true" t="shared" si="28" ref="O109:Z109">O86-O57</f>
        <v>0</v>
      </c>
      <c r="P109" s="277">
        <f t="shared" si="28"/>
        <v>0</v>
      </c>
      <c r="Q109" s="277">
        <f t="shared" si="28"/>
        <v>0</v>
      </c>
      <c r="R109" s="277">
        <f t="shared" si="28"/>
        <v>0</v>
      </c>
      <c r="S109" s="277">
        <f t="shared" si="28"/>
        <v>0</v>
      </c>
      <c r="T109" s="277">
        <f t="shared" si="28"/>
        <v>0</v>
      </c>
      <c r="U109" s="277">
        <f t="shared" si="28"/>
        <v>0</v>
      </c>
      <c r="V109" s="277">
        <f t="shared" si="28"/>
        <v>0</v>
      </c>
      <c r="W109" s="277">
        <f t="shared" si="28"/>
        <v>0</v>
      </c>
      <c r="X109" s="277">
        <f t="shared" si="28"/>
        <v>0</v>
      </c>
      <c r="Y109" s="277">
        <f t="shared" si="28"/>
        <v>0</v>
      </c>
      <c r="Z109" s="277">
        <f t="shared" si="28"/>
        <v>0</v>
      </c>
      <c r="AA109" s="277">
        <f>AA86-AA57</f>
        <v>0</v>
      </c>
      <c r="AB109" s="166"/>
      <c r="AC109" s="166"/>
    </row>
    <row r="111" spans="2:3" s="262" customFormat="1" ht="12.75">
      <c r="B111" s="413" t="s">
        <v>591</v>
      </c>
      <c r="C111" s="262" t="s">
        <v>157</v>
      </c>
    </row>
    <row r="112" s="263" customFormat="1" ht="12.75">
      <c r="C112" s="263" t="s">
        <v>246</v>
      </c>
    </row>
    <row r="113" spans="3:6" s="225" customFormat="1" ht="12.75">
      <c r="C113" s="224" t="s">
        <v>414</v>
      </c>
      <c r="F113" s="418">
        <f>'Izglītojamie - ar projektu'!F10</f>
        <v>0.6519470092332397</v>
      </c>
    </row>
    <row r="114" spans="3:6" s="225" customFormat="1" ht="12.75">
      <c r="C114" s="224" t="s">
        <v>415</v>
      </c>
      <c r="F114" s="418">
        <f>'Izglītojamie - ar projektu'!F12</f>
        <v>0.3480529907667604</v>
      </c>
    </row>
    <row r="115" s="225" customFormat="1" ht="12.75"/>
    <row r="116" spans="3:9" s="225" customFormat="1" ht="25.5">
      <c r="C116" s="224" t="s">
        <v>675</v>
      </c>
      <c r="F116" s="401" t="s">
        <v>396</v>
      </c>
      <c r="G116" s="401" t="s">
        <v>562</v>
      </c>
      <c r="H116" s="401" t="s">
        <v>566</v>
      </c>
      <c r="I116" s="401" t="s">
        <v>158</v>
      </c>
    </row>
    <row r="117" spans="3:9" s="225" customFormat="1" ht="25.5">
      <c r="C117" s="410" t="s">
        <v>54</v>
      </c>
      <c r="F117" s="418">
        <f>'Algas pa līmeņiem'!C97</f>
        <v>1.6529562982005142</v>
      </c>
      <c r="G117" s="418">
        <f>'Algas pa līmeņiem'!D97</f>
        <v>1.2185089974293057</v>
      </c>
      <c r="H117" s="418">
        <f>'Algas pa līmeņiem'!E97</f>
        <v>1.254498714652956</v>
      </c>
      <c r="I117" s="418">
        <f>'Algas pa līmeņiem'!F97</f>
        <v>1</v>
      </c>
    </row>
    <row r="118" spans="3:9" s="166" customFormat="1" ht="25.5">
      <c r="C118" s="410" t="s">
        <v>55</v>
      </c>
      <c r="F118" s="418">
        <f>'Algas pa līmeņiem'!C98</f>
        <v>1.8026386192380262</v>
      </c>
      <c r="G118" s="418">
        <f>'Algas pa līmeņiem'!D98</f>
        <v>1.1407741470575485</v>
      </c>
      <c r="H118" s="418">
        <f>'Algas pa līmeņiem'!E98</f>
        <v>1.101282073814748</v>
      </c>
      <c r="I118" s="418">
        <f>'Algas pa līmeņiem'!F98</f>
        <v>0.9999999999999999</v>
      </c>
    </row>
    <row r="119" spans="3:9" s="166" customFormat="1" ht="25.5">
      <c r="C119" s="410" t="s">
        <v>56</v>
      </c>
      <c r="F119" s="418">
        <f>'Algas pa līmeņiem'!C99</f>
        <v>2.4265734265734267</v>
      </c>
      <c r="G119" s="418">
        <f>'Algas pa līmeņiem'!D99</f>
        <v>1.2890442890442888</v>
      </c>
      <c r="H119" s="418">
        <f>'Algas pa līmeņiem'!E99</f>
        <v>1.1724941724941724</v>
      </c>
      <c r="I119" s="418">
        <f>'Algas pa līmeņiem'!F99</f>
        <v>1</v>
      </c>
    </row>
    <row r="120" spans="3:9" s="166" customFormat="1" ht="25.5">
      <c r="C120" s="410" t="s">
        <v>672</v>
      </c>
      <c r="F120" s="418">
        <f>'Algas pa līmeņiem'!C100</f>
        <v>1.7164556962025317</v>
      </c>
      <c r="G120" s="418">
        <f>'Algas pa līmeņiem'!D100</f>
        <v>1.0582278481012657</v>
      </c>
      <c r="H120" s="418">
        <f>'Algas pa līmeņiem'!E100</f>
        <v>1.2759493670886077</v>
      </c>
      <c r="I120" s="418">
        <f>'Algas pa līmeņiem'!F100</f>
        <v>1</v>
      </c>
    </row>
    <row r="121" s="166" customFormat="1" ht="12.75"/>
    <row r="122" spans="3:9" s="166" customFormat="1" ht="12.75">
      <c r="C122" s="269" t="s">
        <v>676</v>
      </c>
      <c r="G122" s="213"/>
      <c r="H122" s="213"/>
      <c r="I122" s="213"/>
    </row>
    <row r="123" spans="3:9" s="166" customFormat="1" ht="25.5">
      <c r="C123" s="410" t="s">
        <v>54</v>
      </c>
      <c r="F123" s="401" t="s">
        <v>52</v>
      </c>
      <c r="G123" s="501">
        <f>'Algas pa līmeņiem'!H90</f>
        <v>6584.429378531075</v>
      </c>
      <c r="H123" s="419"/>
      <c r="I123" s="419"/>
    </row>
    <row r="124" spans="3:9" s="166" customFormat="1" ht="25.5">
      <c r="C124" s="410" t="s">
        <v>55</v>
      </c>
      <c r="F124" s="401" t="s">
        <v>52</v>
      </c>
      <c r="G124" s="501">
        <f>'Algas pa līmeņiem'!H91</f>
        <v>7894.572495120379</v>
      </c>
      <c r="H124" s="419"/>
      <c r="I124" s="419"/>
    </row>
    <row r="125" spans="3:9" s="166" customFormat="1" ht="25.5">
      <c r="C125" s="410" t="s">
        <v>56</v>
      </c>
      <c r="F125" s="401" t="s">
        <v>52</v>
      </c>
      <c r="G125" s="501">
        <f>'Algas pa līmeņiem'!H92</f>
        <v>6635.3836276083475</v>
      </c>
      <c r="H125" s="419"/>
      <c r="I125" s="419"/>
    </row>
    <row r="126" spans="3:9" s="166" customFormat="1" ht="25.5">
      <c r="C126" s="410" t="s">
        <v>672</v>
      </c>
      <c r="F126" s="401" t="s">
        <v>52</v>
      </c>
      <c r="G126" s="501">
        <f>'Algas pa līmeņiem'!H93</f>
        <v>6401.323529411766</v>
      </c>
      <c r="H126" s="419"/>
      <c r="I126" s="419"/>
    </row>
    <row r="127" s="166" customFormat="1" ht="12.75"/>
    <row r="128" spans="1:29" ht="15">
      <c r="A128" s="166"/>
      <c r="B128" s="166"/>
      <c r="C128" s="410"/>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row>
    <row r="129" s="263" customFormat="1" ht="12.75">
      <c r="C129" s="263" t="s">
        <v>155</v>
      </c>
    </row>
    <row r="130" s="420" customFormat="1" ht="12.75">
      <c r="C130" s="420" t="s">
        <v>276</v>
      </c>
    </row>
    <row r="131" s="166" customFormat="1" ht="12.75">
      <c r="C131" s="269" t="s">
        <v>310</v>
      </c>
    </row>
    <row r="132" spans="3:11" s="166" customFormat="1" ht="15">
      <c r="C132" s="421"/>
      <c r="G132" s="502"/>
      <c r="H132" s="540" t="s">
        <v>273</v>
      </c>
      <c r="I132" s="540"/>
      <c r="J132" s="540"/>
      <c r="K132" s="540"/>
    </row>
    <row r="133" spans="3:27" s="166" customFormat="1" ht="25.5">
      <c r="C133" s="410" t="str">
        <f>1!C33</f>
        <v>Izglītības tematiskā joma „mākslas” (radošās industrijas): izglītības klasifikācijas koda 3. un 4.cipars: 21</v>
      </c>
      <c r="D133" s="166" t="s">
        <v>152</v>
      </c>
      <c r="G133" s="249"/>
      <c r="H133" s="235"/>
      <c r="I133" s="235"/>
      <c r="J133" s="235"/>
      <c r="K133" s="235">
        <v>0</v>
      </c>
      <c r="L133" s="279">
        <f>ROUND(2!L98*$F$113,0)</f>
        <v>0</v>
      </c>
      <c r="M133" s="279">
        <f>ROUND(2!M98*$F$113,0)</f>
        <v>0</v>
      </c>
      <c r="N133" s="279">
        <f>ROUND(2!N98*$F$113,0)</f>
        <v>0</v>
      </c>
      <c r="O133" s="279">
        <f>ROUND(2!O98*$F$113,0)</f>
        <v>0</v>
      </c>
      <c r="P133" s="279">
        <f>ROUND(2!P98*$F$113,0)</f>
        <v>0</v>
      </c>
      <c r="Q133" s="279">
        <f>ROUND(2!Q98*$F$113,0)</f>
        <v>0</v>
      </c>
      <c r="R133" s="279">
        <f>ROUND(2!R98*$F$113,0)</f>
        <v>0</v>
      </c>
      <c r="S133" s="279">
        <f>ROUND(2!S98*$F$113,0)</f>
        <v>0</v>
      </c>
      <c r="T133" s="279">
        <f>ROUND(2!T98*$F$113,0)</f>
        <v>0</v>
      </c>
      <c r="U133" s="279">
        <f>ROUND(2!U98*$F$113,0)</f>
        <v>0</v>
      </c>
      <c r="V133" s="279">
        <f>ROUND(2!V98*$F$113,0)</f>
        <v>0</v>
      </c>
      <c r="W133" s="279">
        <f>ROUND(2!W98*$F$113,0)</f>
        <v>0</v>
      </c>
      <c r="X133" s="279">
        <f>ROUND(2!X98*$F$113,0)</f>
        <v>0</v>
      </c>
      <c r="Y133" s="279">
        <f>ROUND(2!Y98*$F$113,0)</f>
        <v>0</v>
      </c>
      <c r="Z133" s="279">
        <f>ROUND(2!Z98*$F$113,0)</f>
        <v>0</v>
      </c>
      <c r="AA133" s="279">
        <f>ROUND(2!AA98*$F$113,0)</f>
        <v>0</v>
      </c>
    </row>
    <row r="134" spans="3:27" s="166" customFormat="1" ht="25.5">
      <c r="C134" s="410" t="str">
        <f>1!C34</f>
        <v>Izglītības programmu grupas ar šādu izglītības klasifikācijas koda 3., 4. un 5.ciparu: “521”; “522”; “523”; “524”; “525”; “541”; “542”; “543”; “545” vai “582”:  </v>
      </c>
      <c r="D134" s="166" t="s">
        <v>152</v>
      </c>
      <c r="G134" s="249"/>
      <c r="H134" s="235"/>
      <c r="I134" s="235"/>
      <c r="J134" s="235"/>
      <c r="K134" s="235">
        <v>0</v>
      </c>
      <c r="L134" s="279">
        <f>ROUND(2!L99*$F$113,0)</f>
        <v>0</v>
      </c>
      <c r="M134" s="279">
        <f>ROUND(2!M99*$F$113,0)</f>
        <v>0</v>
      </c>
      <c r="N134" s="279">
        <f>ROUND(2!N99*$F$113,0)</f>
        <v>0</v>
      </c>
      <c r="O134" s="279">
        <f>ROUND(2!O99*$F$113,0)</f>
        <v>0</v>
      </c>
      <c r="P134" s="279">
        <f>ROUND(2!P99*$F$113,0)</f>
        <v>0</v>
      </c>
      <c r="Q134" s="279">
        <f>ROUND(2!Q99*$F$113,0)</f>
        <v>0</v>
      </c>
      <c r="R134" s="279">
        <f>ROUND(2!R99*$F$113,0)</f>
        <v>0</v>
      </c>
      <c r="S134" s="279">
        <f>ROUND(2!S99*$F$113,0)</f>
        <v>0</v>
      </c>
      <c r="T134" s="279">
        <f>ROUND(2!T99*$F$113,0)</f>
        <v>0</v>
      </c>
      <c r="U134" s="279">
        <f>ROUND(2!U99*$F$113,0)</f>
        <v>0</v>
      </c>
      <c r="V134" s="279">
        <f>ROUND(2!V99*$F$113,0)</f>
        <v>0</v>
      </c>
      <c r="W134" s="279">
        <f>ROUND(2!W99*$F$113,0)</f>
        <v>0</v>
      </c>
      <c r="X134" s="279">
        <f>ROUND(2!X99*$F$113,0)</f>
        <v>0</v>
      </c>
      <c r="Y134" s="279">
        <f>ROUND(2!Y99*$F$113,0)</f>
        <v>0</v>
      </c>
      <c r="Z134" s="279">
        <f>ROUND(2!Z99*$F$113,0)</f>
        <v>0</v>
      </c>
      <c r="AA134" s="279">
        <f>ROUND(2!AA99*$F$113,0)</f>
        <v>0</v>
      </c>
    </row>
    <row r="135" spans="3:27" s="166" customFormat="1" ht="25.5">
      <c r="C135" s="410" t="str">
        <f>1!C35</f>
        <v>Izglītības programmu grupa  "lauksaimniecība", "mežsaimniecība", "zivjsaimniecība" vai "veterinārija" (izglītības klasifikācijas koda 3. un 4.cipars "62" vai "64")  </v>
      </c>
      <c r="D135" s="166" t="s">
        <v>152</v>
      </c>
      <c r="G135" s="249"/>
      <c r="H135" s="235"/>
      <c r="I135" s="235"/>
      <c r="J135" s="235"/>
      <c r="K135" s="235">
        <v>0</v>
      </c>
      <c r="L135" s="279">
        <f>ROUND(2!L100*$F$113,0)</f>
        <v>0</v>
      </c>
      <c r="M135" s="279">
        <f>ROUND(2!M100*$F$113,0)</f>
        <v>0</v>
      </c>
      <c r="N135" s="279">
        <f>ROUND(2!N100*$F$113,0)</f>
        <v>0</v>
      </c>
      <c r="O135" s="279">
        <f>ROUND(2!O100*$F$113,0)</f>
        <v>0</v>
      </c>
      <c r="P135" s="279">
        <f>ROUND(2!P100*$F$113,0)</f>
        <v>0</v>
      </c>
      <c r="Q135" s="279">
        <f>ROUND(2!Q100*$F$113,0)</f>
        <v>0</v>
      </c>
      <c r="R135" s="279">
        <f>ROUND(2!R100*$F$113,0)</f>
        <v>0</v>
      </c>
      <c r="S135" s="279">
        <f>ROUND(2!S100*$F$113,0)</f>
        <v>0</v>
      </c>
      <c r="T135" s="279">
        <f>ROUND(2!T100*$F$113,0)</f>
        <v>0</v>
      </c>
      <c r="U135" s="279">
        <f>ROUND(2!U100*$F$113,0)</f>
        <v>0</v>
      </c>
      <c r="V135" s="279">
        <f>ROUND(2!V100*$F$113,0)</f>
        <v>0</v>
      </c>
      <c r="W135" s="279">
        <f>ROUND(2!W100*$F$113,0)</f>
        <v>0</v>
      </c>
      <c r="X135" s="279">
        <f>ROUND(2!X100*$F$113,0)</f>
        <v>0</v>
      </c>
      <c r="Y135" s="279">
        <f>ROUND(2!Y100*$F$113,0)</f>
        <v>0</v>
      </c>
      <c r="Z135" s="279">
        <f>ROUND(2!Z100*$F$113,0)</f>
        <v>0</v>
      </c>
      <c r="AA135" s="279">
        <f>ROUND(2!AA100*$F$113,0)</f>
        <v>0</v>
      </c>
    </row>
    <row r="136" spans="3:27" s="166" customFormat="1" ht="25.5">
      <c r="C136" s="410" t="str">
        <f>1!C36</f>
        <v>Izglītības programmu grupa: "viesnīcu un restorānu paklapojumi"  ,  "tūrisma un atpūtas organizācija" (izglītības klasifikācijas koda 3., 4. un 5.cipars "811"  vai "812") </v>
      </c>
      <c r="D136" s="166" t="s">
        <v>152</v>
      </c>
      <c r="G136" s="249"/>
      <c r="H136" s="235"/>
      <c r="I136" s="235"/>
      <c r="J136" s="235"/>
      <c r="K136" s="235">
        <v>0</v>
      </c>
      <c r="L136" s="279">
        <f>ROUND(2!L101*$F$113,0)</f>
        <v>0</v>
      </c>
      <c r="M136" s="279">
        <f>ROUND(2!M101*$F$113,0)</f>
        <v>0</v>
      </c>
      <c r="N136" s="279">
        <f>ROUND(2!N101*$F$113,0)</f>
        <v>0</v>
      </c>
      <c r="O136" s="279">
        <f>ROUND(2!O101*$F$113,0)</f>
        <v>0</v>
      </c>
      <c r="P136" s="279">
        <f>ROUND(2!P101*$F$113,0)</f>
        <v>0</v>
      </c>
      <c r="Q136" s="279">
        <f>ROUND(2!Q101*$F$113,0)</f>
        <v>0</v>
      </c>
      <c r="R136" s="279">
        <f>ROUND(2!R101*$F$113,0)</f>
        <v>0</v>
      </c>
      <c r="S136" s="279">
        <f>ROUND(2!S101*$F$113,0)</f>
        <v>0</v>
      </c>
      <c r="T136" s="279">
        <f>ROUND(2!T101*$F$113,0)</f>
        <v>0</v>
      </c>
      <c r="U136" s="279">
        <f>ROUND(2!U101*$F$113,0)</f>
        <v>0</v>
      </c>
      <c r="V136" s="279">
        <f>ROUND(2!V101*$F$113,0)</f>
        <v>0</v>
      </c>
      <c r="W136" s="279">
        <f>ROUND(2!W101*$F$113,0)</f>
        <v>0</v>
      </c>
      <c r="X136" s="279">
        <f>ROUND(2!X101*$F$113,0)</f>
        <v>0</v>
      </c>
      <c r="Y136" s="279">
        <f>ROUND(2!Y101*$F$113,0)</f>
        <v>0</v>
      </c>
      <c r="Z136" s="279">
        <f>ROUND(2!Z101*$F$113,0)</f>
        <v>0</v>
      </c>
      <c r="AA136" s="279">
        <f>ROUND(2!AA101*$F$113,0)</f>
        <v>0</v>
      </c>
    </row>
    <row r="137" spans="3:27" s="166" customFormat="1" ht="12.75">
      <c r="C137" s="422" t="s">
        <v>21</v>
      </c>
      <c r="D137" s="166" t="s">
        <v>152</v>
      </c>
      <c r="K137" s="423"/>
      <c r="L137" s="423">
        <f aca="true" t="shared" si="29" ref="L137:Z137">SUM(L133:L136)</f>
        <v>0</v>
      </c>
      <c r="M137" s="423">
        <f t="shared" si="29"/>
        <v>0</v>
      </c>
      <c r="N137" s="423">
        <f t="shared" si="29"/>
        <v>0</v>
      </c>
      <c r="O137" s="423">
        <f t="shared" si="29"/>
        <v>0</v>
      </c>
      <c r="P137" s="423">
        <f t="shared" si="29"/>
        <v>0</v>
      </c>
      <c r="Q137" s="423">
        <f t="shared" si="29"/>
        <v>0</v>
      </c>
      <c r="R137" s="423">
        <f t="shared" si="29"/>
        <v>0</v>
      </c>
      <c r="S137" s="423">
        <f t="shared" si="29"/>
        <v>0</v>
      </c>
      <c r="T137" s="423">
        <f t="shared" si="29"/>
        <v>0</v>
      </c>
      <c r="U137" s="423">
        <f t="shared" si="29"/>
        <v>0</v>
      </c>
      <c r="V137" s="423">
        <f t="shared" si="29"/>
        <v>0</v>
      </c>
      <c r="W137" s="423">
        <f t="shared" si="29"/>
        <v>0</v>
      </c>
      <c r="X137" s="423">
        <f t="shared" si="29"/>
        <v>0</v>
      </c>
      <c r="Y137" s="423">
        <f t="shared" si="29"/>
        <v>0</v>
      </c>
      <c r="Z137" s="423">
        <f t="shared" si="29"/>
        <v>0</v>
      </c>
      <c r="AA137" s="423">
        <f>SUM(AA133:AA136)</f>
        <v>0</v>
      </c>
    </row>
    <row r="138" spans="20:27" s="166" customFormat="1" ht="12.75">
      <c r="T138" s="216"/>
      <c r="U138" s="216"/>
      <c r="V138" s="216"/>
      <c r="W138" s="216"/>
      <c r="X138" s="216"/>
      <c r="Y138" s="216"/>
      <c r="Z138" s="216"/>
      <c r="AA138" s="216"/>
    </row>
    <row r="139" spans="3:27" s="166" customFormat="1" ht="12.75">
      <c r="C139" s="269" t="s">
        <v>567</v>
      </c>
      <c r="T139" s="216"/>
      <c r="U139" s="216"/>
      <c r="V139" s="216"/>
      <c r="W139" s="216"/>
      <c r="X139" s="216"/>
      <c r="Y139" s="216"/>
      <c r="Z139" s="216"/>
      <c r="AA139" s="216"/>
    </row>
    <row r="140" spans="3:27" s="166" customFormat="1" ht="15">
      <c r="C140" s="421"/>
      <c r="G140" s="502"/>
      <c r="H140" s="540" t="s">
        <v>273</v>
      </c>
      <c r="I140" s="540"/>
      <c r="J140" s="540"/>
      <c r="K140" s="540"/>
      <c r="T140" s="216"/>
      <c r="U140" s="216"/>
      <c r="V140" s="216"/>
      <c r="W140" s="216"/>
      <c r="X140" s="216"/>
      <c r="Y140" s="216"/>
      <c r="Z140" s="216"/>
      <c r="AA140" s="216"/>
    </row>
    <row r="141" spans="3:27" s="166" customFormat="1" ht="25.5">
      <c r="C141" s="410" t="str">
        <f>1!C33</f>
        <v>Izglītības tematiskā joma „mākslas” (radošās industrijas): izglītības klasifikācijas koda 3. un 4.cipars: 21</v>
      </c>
      <c r="D141" s="166" t="s">
        <v>152</v>
      </c>
      <c r="G141" s="249"/>
      <c r="H141" s="235"/>
      <c r="I141" s="235"/>
      <c r="J141" s="235"/>
      <c r="K141" s="235">
        <v>0</v>
      </c>
      <c r="L141" s="279">
        <f>ROUND(2!L98*$F$114,0)</f>
        <v>0</v>
      </c>
      <c r="M141" s="279">
        <f>ROUND(2!M98*$F$114,0)</f>
        <v>0</v>
      </c>
      <c r="N141" s="279">
        <f>ROUND(2!N98*$F$114,0)</f>
        <v>0</v>
      </c>
      <c r="O141" s="279">
        <f>ROUND(2!O98*$F$114,0)</f>
        <v>0</v>
      </c>
      <c r="P141" s="279">
        <f>ROUND(2!P98*$F$114,0)</f>
        <v>0</v>
      </c>
      <c r="Q141" s="279">
        <f>ROUND(2!Q98*$F$114,0)</f>
        <v>0</v>
      </c>
      <c r="R141" s="279">
        <f>ROUND(2!R98*$F$114,0)</f>
        <v>0</v>
      </c>
      <c r="S141" s="279">
        <f>ROUND(2!S98*$F$114,0)</f>
        <v>0</v>
      </c>
      <c r="T141" s="279">
        <f>ROUND(2!T98*$F$114,0)</f>
        <v>0</v>
      </c>
      <c r="U141" s="279">
        <f>ROUND(2!U98*$F$114,0)</f>
        <v>0</v>
      </c>
      <c r="V141" s="279">
        <f>ROUND(2!V98*$F$114,0)</f>
        <v>0</v>
      </c>
      <c r="W141" s="279">
        <f>ROUND(2!W98*$F$114,0)</f>
        <v>0</v>
      </c>
      <c r="X141" s="279">
        <f>ROUND(2!X98*$F$114,0)</f>
        <v>0</v>
      </c>
      <c r="Y141" s="279">
        <f>ROUND(2!Y98*$F$114,0)</f>
        <v>0</v>
      </c>
      <c r="Z141" s="279">
        <f>ROUND(2!Z98*$F$114,0)</f>
        <v>0</v>
      </c>
      <c r="AA141" s="279">
        <f>ROUND(2!AA98*$F$114,0)</f>
        <v>0</v>
      </c>
    </row>
    <row r="142" spans="3:27" s="166" customFormat="1" ht="25.5">
      <c r="C142" s="410" t="str">
        <f>1!C34</f>
        <v>Izglītības programmu grupas ar šādu izglītības klasifikācijas koda 3., 4. un 5.ciparu: “521”; “522”; “523”; “524”; “525”; “541”; “542”; “543”; “545” vai “582”:  </v>
      </c>
      <c r="D142" s="166" t="s">
        <v>152</v>
      </c>
      <c r="G142" s="249"/>
      <c r="H142" s="235"/>
      <c r="I142" s="235"/>
      <c r="J142" s="235"/>
      <c r="K142" s="235">
        <v>0</v>
      </c>
      <c r="L142" s="279">
        <f>ROUND(2!L99*$F$114,0)</f>
        <v>0</v>
      </c>
      <c r="M142" s="279">
        <f>ROUND(2!M99*$F$114,0)</f>
        <v>0</v>
      </c>
      <c r="N142" s="279">
        <f>ROUND(2!N99*$F$114,0)</f>
        <v>0</v>
      </c>
      <c r="O142" s="279">
        <f>ROUND(2!O99*$F$114,0)</f>
        <v>0</v>
      </c>
      <c r="P142" s="279">
        <f>ROUND(2!P99*$F$114,0)</f>
        <v>0</v>
      </c>
      <c r="Q142" s="279">
        <f>ROUND(2!Q99*$F$114,0)</f>
        <v>0</v>
      </c>
      <c r="R142" s="279">
        <f>ROUND(2!R99*$F$114,0)</f>
        <v>0</v>
      </c>
      <c r="S142" s="279">
        <f>ROUND(2!S99*$F$114,0)</f>
        <v>0</v>
      </c>
      <c r="T142" s="279">
        <f>ROUND(2!T99*$F$114,0)</f>
        <v>0</v>
      </c>
      <c r="U142" s="279">
        <f>ROUND(2!U99*$F$114,0)</f>
        <v>0</v>
      </c>
      <c r="V142" s="279">
        <f>ROUND(2!V99*$F$114,0)</f>
        <v>0</v>
      </c>
      <c r="W142" s="279">
        <f>ROUND(2!W99*$F$114,0)</f>
        <v>0</v>
      </c>
      <c r="X142" s="279">
        <f>ROUND(2!X99*$F$114,0)</f>
        <v>0</v>
      </c>
      <c r="Y142" s="279">
        <f>ROUND(2!Y99*$F$114,0)</f>
        <v>0</v>
      </c>
      <c r="Z142" s="279">
        <f>ROUND(2!Z99*$F$114,0)</f>
        <v>0</v>
      </c>
      <c r="AA142" s="279">
        <f>ROUND(2!AA99*$F$114,0)</f>
        <v>0</v>
      </c>
    </row>
    <row r="143" spans="3:27" s="166" customFormat="1" ht="25.5">
      <c r="C143" s="410" t="str">
        <f>1!C35</f>
        <v>Izglītības programmu grupa  "lauksaimniecība", "mežsaimniecība", "zivjsaimniecība" vai "veterinārija" (izglītības klasifikācijas koda 3. un 4.cipars "62" vai "64")  </v>
      </c>
      <c r="D143" s="166" t="s">
        <v>152</v>
      </c>
      <c r="G143" s="249"/>
      <c r="H143" s="235"/>
      <c r="I143" s="235"/>
      <c r="J143" s="235"/>
      <c r="K143" s="235">
        <v>0</v>
      </c>
      <c r="L143" s="279">
        <f>ROUND(2!L100*$F$114,0)</f>
        <v>0</v>
      </c>
      <c r="M143" s="279">
        <f>ROUND(2!M100*$F$114,0)</f>
        <v>0</v>
      </c>
      <c r="N143" s="279">
        <f>ROUND(2!N100*$F$114,0)</f>
        <v>0</v>
      </c>
      <c r="O143" s="279">
        <f>ROUND(2!O100*$F$114,0)</f>
        <v>0</v>
      </c>
      <c r="P143" s="279">
        <f>ROUND(2!P100*$F$114,0)</f>
        <v>0</v>
      </c>
      <c r="Q143" s="279">
        <f>ROUND(2!Q100*$F$114,0)</f>
        <v>0</v>
      </c>
      <c r="R143" s="279">
        <f>ROUND(2!R100*$F$114,0)</f>
        <v>0</v>
      </c>
      <c r="S143" s="279">
        <f>ROUND(2!S100*$F$114,0)</f>
        <v>0</v>
      </c>
      <c r="T143" s="279">
        <f>ROUND(2!T100*$F$114,0)</f>
        <v>0</v>
      </c>
      <c r="U143" s="279">
        <f>ROUND(2!U100*$F$114,0)</f>
        <v>0</v>
      </c>
      <c r="V143" s="279">
        <f>ROUND(2!V100*$F$114,0)</f>
        <v>0</v>
      </c>
      <c r="W143" s="279">
        <f>ROUND(2!W100*$F$114,0)</f>
        <v>0</v>
      </c>
      <c r="X143" s="279">
        <f>ROUND(2!X100*$F$114,0)</f>
        <v>0</v>
      </c>
      <c r="Y143" s="279">
        <f>ROUND(2!Y100*$F$114,0)</f>
        <v>0</v>
      </c>
      <c r="Z143" s="279">
        <f>ROUND(2!Z100*$F$114,0)</f>
        <v>0</v>
      </c>
      <c r="AA143" s="279">
        <f>ROUND(2!AA100*$F$114,0)</f>
        <v>0</v>
      </c>
    </row>
    <row r="144" spans="3:27" s="166" customFormat="1" ht="25.5">
      <c r="C144" s="410" t="str">
        <f>1!C36</f>
        <v>Izglītības programmu grupa: "viesnīcu un restorānu paklapojumi"  ,  "tūrisma un atpūtas organizācija" (izglītības klasifikācijas koda 3., 4. un 5.cipars "811"  vai "812") </v>
      </c>
      <c r="D144" s="166" t="s">
        <v>152</v>
      </c>
      <c r="G144" s="249"/>
      <c r="H144" s="235"/>
      <c r="I144" s="235"/>
      <c r="J144" s="235"/>
      <c r="K144" s="235">
        <v>0</v>
      </c>
      <c r="L144" s="279">
        <f>ROUND(2!L101*$F$114,0)</f>
        <v>0</v>
      </c>
      <c r="M144" s="279">
        <f>ROUND(2!M101*$F$114,0)</f>
        <v>0</v>
      </c>
      <c r="N144" s="279">
        <f>ROUND(2!N101*$F$114,0)</f>
        <v>0</v>
      </c>
      <c r="O144" s="279">
        <f>ROUND(2!O101*$F$114,0)</f>
        <v>0</v>
      </c>
      <c r="P144" s="279">
        <f>ROUND(2!P101*$F$114,0)</f>
        <v>0</v>
      </c>
      <c r="Q144" s="279">
        <f>ROUND(2!Q101*$F$114,0)</f>
        <v>0</v>
      </c>
      <c r="R144" s="279">
        <f>ROUND(2!R101*$F$114,0)</f>
        <v>0</v>
      </c>
      <c r="S144" s="279">
        <f>ROUND(2!S101*$F$114,0)</f>
        <v>0</v>
      </c>
      <c r="T144" s="279">
        <f>ROUND(2!T101*$F$114,0)</f>
        <v>0</v>
      </c>
      <c r="U144" s="279">
        <f>ROUND(2!U101*$F$114,0)</f>
        <v>0</v>
      </c>
      <c r="V144" s="279">
        <f>ROUND(2!V101*$F$114,0)</f>
        <v>0</v>
      </c>
      <c r="W144" s="279">
        <f>ROUND(2!W101*$F$114,0)</f>
        <v>0</v>
      </c>
      <c r="X144" s="279">
        <f>ROUND(2!X101*$F$114,0)</f>
        <v>0</v>
      </c>
      <c r="Y144" s="279">
        <f>ROUND(2!Y101*$F$114,0)</f>
        <v>0</v>
      </c>
      <c r="Z144" s="279">
        <f>ROUND(2!Z101*$F$114,0)</f>
        <v>0</v>
      </c>
      <c r="AA144" s="279">
        <f>ROUND(2!AA101*$F$114,0)</f>
        <v>0</v>
      </c>
    </row>
    <row r="145" spans="3:27" s="166" customFormat="1" ht="12.75">
      <c r="C145" s="422" t="s">
        <v>21</v>
      </c>
      <c r="D145" s="166" t="s">
        <v>152</v>
      </c>
      <c r="G145" s="216"/>
      <c r="H145" s="216"/>
      <c r="I145" s="216"/>
      <c r="J145" s="216"/>
      <c r="K145" s="423"/>
      <c r="L145" s="423">
        <f aca="true" t="shared" si="30" ref="L145:S145">SUM(L141:L144)+SUM(K141:K144)</f>
        <v>0</v>
      </c>
      <c r="M145" s="423">
        <f t="shared" si="30"/>
        <v>0</v>
      </c>
      <c r="N145" s="423">
        <f t="shared" si="30"/>
        <v>0</v>
      </c>
      <c r="O145" s="423">
        <f t="shared" si="30"/>
        <v>0</v>
      </c>
      <c r="P145" s="423">
        <f t="shared" si="30"/>
        <v>0</v>
      </c>
      <c r="Q145" s="423">
        <f t="shared" si="30"/>
        <v>0</v>
      </c>
      <c r="R145" s="423">
        <f t="shared" si="30"/>
        <v>0</v>
      </c>
      <c r="S145" s="423">
        <f t="shared" si="30"/>
        <v>0</v>
      </c>
      <c r="T145" s="423">
        <f aca="true" t="shared" si="31" ref="T145:AA145">S145</f>
        <v>0</v>
      </c>
      <c r="U145" s="423">
        <f t="shared" si="31"/>
        <v>0</v>
      </c>
      <c r="V145" s="423">
        <f t="shared" si="31"/>
        <v>0</v>
      </c>
      <c r="W145" s="423">
        <f t="shared" si="31"/>
        <v>0</v>
      </c>
      <c r="X145" s="423">
        <f t="shared" si="31"/>
        <v>0</v>
      </c>
      <c r="Y145" s="423">
        <f t="shared" si="31"/>
        <v>0</v>
      </c>
      <c r="Z145" s="423">
        <f t="shared" si="31"/>
        <v>0</v>
      </c>
      <c r="AA145" s="423">
        <f t="shared" si="31"/>
        <v>0</v>
      </c>
    </row>
    <row r="146" s="166" customFormat="1" ht="12.75"/>
    <row r="147" s="420" customFormat="1" ht="12.75">
      <c r="C147" s="420" t="s">
        <v>277</v>
      </c>
    </row>
    <row r="148" s="166" customFormat="1" ht="12.75">
      <c r="C148" s="269" t="s">
        <v>274</v>
      </c>
    </row>
    <row r="149" spans="3:14" s="166" customFormat="1" ht="15">
      <c r="C149" s="421"/>
      <c r="G149" s="502"/>
      <c r="H149" s="540" t="s">
        <v>273</v>
      </c>
      <c r="I149" s="540"/>
      <c r="J149" s="540"/>
      <c r="K149" s="540"/>
      <c r="L149" s="540" t="s">
        <v>272</v>
      </c>
      <c r="M149" s="540"/>
      <c r="N149" s="540"/>
    </row>
    <row r="150" spans="3:27" s="166" customFormat="1" ht="25.5">
      <c r="C150" s="410" t="str">
        <f>1!C33</f>
        <v>Izglītības tematiskā joma „mākslas” (radošās industrijas): izglītības klasifikācijas koda 3. un 4.cipars: 21</v>
      </c>
      <c r="D150" s="166" t="s">
        <v>152</v>
      </c>
      <c r="G150" s="249"/>
      <c r="H150" s="235"/>
      <c r="I150" s="235"/>
      <c r="J150" s="235"/>
      <c r="K150" s="235">
        <v>0</v>
      </c>
      <c r="L150" s="236"/>
      <c r="M150" s="237"/>
      <c r="N150" s="237">
        <v>0</v>
      </c>
      <c r="O150" s="279">
        <f>ROUND(2!O106*$F$113,0)</f>
        <v>0</v>
      </c>
      <c r="P150" s="279">
        <f>ROUND(2!P106*$F$113,0)</f>
        <v>0</v>
      </c>
      <c r="Q150" s="279">
        <f>ROUND(2!Q106*$F$113,0)</f>
        <v>0</v>
      </c>
      <c r="R150" s="279">
        <f>ROUND(2!R106*$F$113,0)</f>
        <v>0</v>
      </c>
      <c r="S150" s="279">
        <f>ROUND(2!S106*$F$113,0)</f>
        <v>0</v>
      </c>
      <c r="T150" s="279">
        <f>ROUND(2!T106*$F$113,0)</f>
        <v>0</v>
      </c>
      <c r="U150" s="279">
        <f>ROUND(2!U106*$F$113,0)</f>
        <v>0</v>
      </c>
      <c r="V150" s="279">
        <f>ROUND(2!V106*$F$113,0)</f>
        <v>0</v>
      </c>
      <c r="W150" s="279">
        <f>ROUND(2!W106*$F$113,0)</f>
        <v>0</v>
      </c>
      <c r="X150" s="279">
        <f>ROUND(2!X106*$F$113,0)</f>
        <v>0</v>
      </c>
      <c r="Y150" s="279">
        <f>ROUND(2!Y106*$F$113,0)</f>
        <v>0</v>
      </c>
      <c r="Z150" s="279">
        <f>ROUND(2!Z106*$F$113,0)</f>
        <v>0</v>
      </c>
      <c r="AA150" s="279">
        <f>ROUND(2!AA106*$F$113,0)</f>
        <v>0</v>
      </c>
    </row>
    <row r="151" spans="3:27" s="166" customFormat="1" ht="25.5">
      <c r="C151" s="410" t="str">
        <f>1!C34</f>
        <v>Izglītības programmu grupas ar šādu izglītības klasifikācijas koda 3., 4. un 5.ciparu: “521”; “522”; “523”; “524”; “525”; “541”; “542”; “543”; “545” vai “582”:  </v>
      </c>
      <c r="D151" s="166" t="s">
        <v>152</v>
      </c>
      <c r="G151" s="249"/>
      <c r="H151" s="235"/>
      <c r="I151" s="235"/>
      <c r="J151" s="235"/>
      <c r="K151" s="235">
        <v>0</v>
      </c>
      <c r="L151" s="236"/>
      <c r="M151" s="237"/>
      <c r="N151" s="237">
        <v>0</v>
      </c>
      <c r="O151" s="279">
        <f>ROUND(2!O107*$F$113,0)</f>
        <v>0</v>
      </c>
      <c r="P151" s="279">
        <f>ROUND(2!P107*$F$113,0)</f>
        <v>0</v>
      </c>
      <c r="Q151" s="279">
        <f>ROUND(2!Q107*$F$113,0)</f>
        <v>0</v>
      </c>
      <c r="R151" s="279">
        <f>ROUND(2!R107*$F$113,0)</f>
        <v>0</v>
      </c>
      <c r="S151" s="279">
        <f>ROUND(2!S107*$F$113,0)</f>
        <v>0</v>
      </c>
      <c r="T151" s="279">
        <f>ROUND(2!T107*$F$113,0)</f>
        <v>0</v>
      </c>
      <c r="U151" s="279">
        <f>ROUND(2!U107*$F$113,0)</f>
        <v>0</v>
      </c>
      <c r="V151" s="279">
        <f>ROUND(2!V107*$F$113,0)</f>
        <v>0</v>
      </c>
      <c r="W151" s="279">
        <f>ROUND(2!W107*$F$113,0)</f>
        <v>0</v>
      </c>
      <c r="X151" s="279">
        <f>ROUND(2!X107*$F$113,0)</f>
        <v>0</v>
      </c>
      <c r="Y151" s="279">
        <f>ROUND(2!Y107*$F$113,0)</f>
        <v>0</v>
      </c>
      <c r="Z151" s="279">
        <f>ROUND(2!Z107*$F$113,0)</f>
        <v>0</v>
      </c>
      <c r="AA151" s="279">
        <f>ROUND(2!AA107*$F$113,0)</f>
        <v>0</v>
      </c>
    </row>
    <row r="152" spans="3:27" s="166" customFormat="1" ht="25.5">
      <c r="C152" s="410" t="str">
        <f>1!C35</f>
        <v>Izglītības programmu grupa  "lauksaimniecība", "mežsaimniecība", "zivjsaimniecība" vai "veterinārija" (izglītības klasifikācijas koda 3. un 4.cipars "62" vai "64")  </v>
      </c>
      <c r="D152" s="166" t="s">
        <v>152</v>
      </c>
      <c r="G152" s="249"/>
      <c r="H152" s="235"/>
      <c r="I152" s="235"/>
      <c r="J152" s="235"/>
      <c r="K152" s="235">
        <v>0</v>
      </c>
      <c r="L152" s="236"/>
      <c r="M152" s="237"/>
      <c r="N152" s="237">
        <v>0</v>
      </c>
      <c r="O152" s="279">
        <f>ROUND(2!O108*$F$113,0)</f>
        <v>0</v>
      </c>
      <c r="P152" s="279">
        <f>ROUND(2!P108*$F$113,0)</f>
        <v>0</v>
      </c>
      <c r="Q152" s="279">
        <f>ROUND(2!Q108*$F$113,0)</f>
        <v>0</v>
      </c>
      <c r="R152" s="279">
        <f>ROUND(2!R108*$F$113,0)</f>
        <v>0</v>
      </c>
      <c r="S152" s="279">
        <f>ROUND(2!S108*$F$113,0)</f>
        <v>0</v>
      </c>
      <c r="T152" s="279">
        <f>ROUND(2!T108*$F$113,0)</f>
        <v>0</v>
      </c>
      <c r="U152" s="279">
        <f>ROUND(2!U108*$F$113,0)</f>
        <v>0</v>
      </c>
      <c r="V152" s="279">
        <f>ROUND(2!V108*$F$113,0)</f>
        <v>0</v>
      </c>
      <c r="W152" s="279">
        <f>ROUND(2!W108*$F$113,0)</f>
        <v>0</v>
      </c>
      <c r="X152" s="279">
        <f>ROUND(2!X108*$F$113,0)</f>
        <v>0</v>
      </c>
      <c r="Y152" s="279">
        <f>ROUND(2!Y108*$F$113,0)</f>
        <v>0</v>
      </c>
      <c r="Z152" s="279">
        <f>ROUND(2!Z108*$F$113,0)</f>
        <v>0</v>
      </c>
      <c r="AA152" s="279">
        <f>ROUND(2!AA108*$F$113,0)</f>
        <v>0</v>
      </c>
    </row>
    <row r="153" spans="3:27" s="166" customFormat="1" ht="25.5">
      <c r="C153" s="410" t="str">
        <f>1!C36</f>
        <v>Izglītības programmu grupa: "viesnīcu un restorānu paklapojumi"  ,  "tūrisma un atpūtas organizācija" (izglītības klasifikācijas koda 3., 4. un 5.cipars "811"  vai "812") </v>
      </c>
      <c r="D153" s="166" t="s">
        <v>152</v>
      </c>
      <c r="G153" s="249"/>
      <c r="H153" s="235"/>
      <c r="I153" s="235"/>
      <c r="J153" s="235"/>
      <c r="K153" s="235">
        <v>0</v>
      </c>
      <c r="L153" s="236"/>
      <c r="M153" s="237"/>
      <c r="N153" s="237">
        <v>0</v>
      </c>
      <c r="O153" s="279">
        <f>ROUND(2!O109*$F$113,0)</f>
        <v>0</v>
      </c>
      <c r="P153" s="279">
        <f>ROUND(2!P109*$F$113,0)</f>
        <v>0</v>
      </c>
      <c r="Q153" s="279">
        <f>ROUND(2!Q109*$F$113,0)</f>
        <v>0</v>
      </c>
      <c r="R153" s="279">
        <f>ROUND(2!R109*$F$113,0)</f>
        <v>0</v>
      </c>
      <c r="S153" s="279">
        <f>ROUND(2!S109*$F$113,0)</f>
        <v>0</v>
      </c>
      <c r="T153" s="279">
        <f>ROUND(2!T109*$F$113,0)</f>
        <v>0</v>
      </c>
      <c r="U153" s="279">
        <f>ROUND(2!U109*$F$113,0)</f>
        <v>0</v>
      </c>
      <c r="V153" s="279">
        <f>ROUND(2!V109*$F$113,0)</f>
        <v>0</v>
      </c>
      <c r="W153" s="279">
        <f>ROUND(2!W109*$F$113,0)</f>
        <v>0</v>
      </c>
      <c r="X153" s="279">
        <f>ROUND(2!X109*$F$113,0)</f>
        <v>0</v>
      </c>
      <c r="Y153" s="279">
        <f>ROUND(2!Y109*$F$113,0)</f>
        <v>0</v>
      </c>
      <c r="Z153" s="279">
        <f>ROUND(2!Z109*$F$113,0)</f>
        <v>0</v>
      </c>
      <c r="AA153" s="279">
        <f>ROUND(2!AA109*$F$113,0)</f>
        <v>0</v>
      </c>
    </row>
    <row r="154" spans="3:28" s="166" customFormat="1" ht="12.75">
      <c r="C154" s="422" t="s">
        <v>21</v>
      </c>
      <c r="G154" s="216"/>
      <c r="H154" s="216"/>
      <c r="I154" s="216"/>
      <c r="J154" s="216"/>
      <c r="K154" s="216"/>
      <c r="L154" s="216"/>
      <c r="M154" s="216"/>
      <c r="N154" s="423"/>
      <c r="O154" s="423">
        <f aca="true" t="shared" si="32" ref="O154:Z154">SUM(O150:O153)</f>
        <v>0</v>
      </c>
      <c r="P154" s="423">
        <f t="shared" si="32"/>
        <v>0</v>
      </c>
      <c r="Q154" s="423">
        <f t="shared" si="32"/>
        <v>0</v>
      </c>
      <c r="R154" s="423">
        <f t="shared" si="32"/>
        <v>0</v>
      </c>
      <c r="S154" s="423">
        <f t="shared" si="32"/>
        <v>0</v>
      </c>
      <c r="T154" s="423">
        <f t="shared" si="32"/>
        <v>0</v>
      </c>
      <c r="U154" s="423">
        <f t="shared" si="32"/>
        <v>0</v>
      </c>
      <c r="V154" s="423">
        <f t="shared" si="32"/>
        <v>0</v>
      </c>
      <c r="W154" s="423">
        <f t="shared" si="32"/>
        <v>0</v>
      </c>
      <c r="X154" s="423">
        <f t="shared" si="32"/>
        <v>0</v>
      </c>
      <c r="Y154" s="423">
        <f t="shared" si="32"/>
        <v>0</v>
      </c>
      <c r="Z154" s="423">
        <f t="shared" si="32"/>
        <v>0</v>
      </c>
      <c r="AA154" s="423">
        <f>SUM(AA150:AA153)</f>
        <v>0</v>
      </c>
      <c r="AB154" s="216"/>
    </row>
    <row r="155" s="166" customFormat="1" ht="12.75"/>
    <row r="156" s="166" customFormat="1" ht="12.75">
      <c r="C156" s="269" t="s">
        <v>275</v>
      </c>
    </row>
    <row r="157" spans="3:14" s="166" customFormat="1" ht="15">
      <c r="C157" s="421"/>
      <c r="G157" s="502"/>
      <c r="H157" s="540" t="s">
        <v>273</v>
      </c>
      <c r="I157" s="540"/>
      <c r="J157" s="540"/>
      <c r="K157" s="540"/>
      <c r="L157" s="540" t="s">
        <v>272</v>
      </c>
      <c r="M157" s="540"/>
      <c r="N157" s="540"/>
    </row>
    <row r="158" spans="3:27" s="166" customFormat="1" ht="25.5">
      <c r="C158" s="410" t="str">
        <f>1!C33</f>
        <v>Izglītības tematiskā joma „mākslas” (radošās industrijas): izglītības klasifikācijas koda 3. un 4.cipars: 21</v>
      </c>
      <c r="D158" s="166" t="s">
        <v>152</v>
      </c>
      <c r="G158" s="249"/>
      <c r="H158" s="235"/>
      <c r="I158" s="235"/>
      <c r="J158" s="235"/>
      <c r="K158" s="235">
        <v>0</v>
      </c>
      <c r="L158" s="236"/>
      <c r="M158" s="237"/>
      <c r="N158" s="237">
        <v>0</v>
      </c>
      <c r="O158" s="279">
        <f>ROUND(2!O106*$F$114,0)</f>
        <v>0</v>
      </c>
      <c r="P158" s="279">
        <f>ROUND(2!P106*$F$114,0)</f>
        <v>0</v>
      </c>
      <c r="Q158" s="279">
        <f>ROUND(2!Q106*$F$114,0)</f>
        <v>0</v>
      </c>
      <c r="R158" s="279">
        <f>ROUND(2!R106*$F$114,0)</f>
        <v>0</v>
      </c>
      <c r="S158" s="279">
        <f>ROUND(2!S106*$F$114,0)</f>
        <v>0</v>
      </c>
      <c r="T158" s="279">
        <f>ROUND(2!T106*$F$114,0)</f>
        <v>0</v>
      </c>
      <c r="U158" s="279">
        <f>ROUND(2!U106*$F$114,0)</f>
        <v>0</v>
      </c>
      <c r="V158" s="279">
        <f>ROUND(2!V106*$F$114,0)</f>
        <v>0</v>
      </c>
      <c r="W158" s="279">
        <f>ROUND(2!W106*$F$114,0)</f>
        <v>0</v>
      </c>
      <c r="X158" s="279">
        <f>ROUND(2!X106*$F$114,0)</f>
        <v>0</v>
      </c>
      <c r="Y158" s="279">
        <f>ROUND(2!Y106*$F$114,0)</f>
        <v>0</v>
      </c>
      <c r="Z158" s="279">
        <f>ROUND(2!Z106*$F$114,0)</f>
        <v>0</v>
      </c>
      <c r="AA158" s="279">
        <f>ROUND(2!AA106*$F$114,0)</f>
        <v>0</v>
      </c>
    </row>
    <row r="159" spans="3:27" s="166" customFormat="1" ht="25.5">
      <c r="C159" s="410" t="str">
        <f>1!C34</f>
        <v>Izglītības programmu grupas ar šādu izglītības klasifikācijas koda 3., 4. un 5.ciparu: “521”; “522”; “523”; “524”; “525”; “541”; “542”; “543”; “545” vai “582”:  </v>
      </c>
      <c r="D159" s="166" t="s">
        <v>152</v>
      </c>
      <c r="G159" s="249"/>
      <c r="H159" s="235"/>
      <c r="I159" s="235"/>
      <c r="J159" s="235"/>
      <c r="K159" s="235">
        <v>0</v>
      </c>
      <c r="L159" s="236"/>
      <c r="M159" s="237"/>
      <c r="N159" s="237">
        <v>0</v>
      </c>
      <c r="O159" s="279">
        <f>ROUND(2!O107*$F$114,0)</f>
        <v>0</v>
      </c>
      <c r="P159" s="279">
        <f>ROUND(2!P107*$F$114,0)</f>
        <v>0</v>
      </c>
      <c r="Q159" s="279">
        <f>ROUND(2!Q107*$F$114,0)</f>
        <v>0</v>
      </c>
      <c r="R159" s="279">
        <f>ROUND(2!R107*$F$114,0)</f>
        <v>0</v>
      </c>
      <c r="S159" s="279">
        <f>ROUND(2!S107*$F$114,0)</f>
        <v>0</v>
      </c>
      <c r="T159" s="279">
        <f>ROUND(2!T107*$F$114,0)</f>
        <v>0</v>
      </c>
      <c r="U159" s="279">
        <f>ROUND(2!U107*$F$114,0)</f>
        <v>0</v>
      </c>
      <c r="V159" s="279">
        <f>ROUND(2!V107*$F$114,0)</f>
        <v>0</v>
      </c>
      <c r="W159" s="279">
        <f>ROUND(2!W107*$F$114,0)</f>
        <v>0</v>
      </c>
      <c r="X159" s="279">
        <f>ROUND(2!X107*$F$114,0)</f>
        <v>0</v>
      </c>
      <c r="Y159" s="279">
        <f>ROUND(2!Y107*$F$114,0)</f>
        <v>0</v>
      </c>
      <c r="Z159" s="279">
        <f>ROUND(2!Z107*$F$114,0)</f>
        <v>0</v>
      </c>
      <c r="AA159" s="279">
        <f>ROUND(2!AA107*$F$114,0)</f>
        <v>0</v>
      </c>
    </row>
    <row r="160" spans="3:27" s="166" customFormat="1" ht="25.5">
      <c r="C160" s="410" t="str">
        <f>1!C35</f>
        <v>Izglītības programmu grupa  "lauksaimniecība", "mežsaimniecība", "zivjsaimniecība" vai "veterinārija" (izglītības klasifikācijas koda 3. un 4.cipars "62" vai "64")  </v>
      </c>
      <c r="D160" s="166" t="s">
        <v>152</v>
      </c>
      <c r="G160" s="249"/>
      <c r="H160" s="235"/>
      <c r="I160" s="235"/>
      <c r="J160" s="235"/>
      <c r="K160" s="235">
        <v>0</v>
      </c>
      <c r="L160" s="236"/>
      <c r="M160" s="237"/>
      <c r="N160" s="237">
        <v>0</v>
      </c>
      <c r="O160" s="279">
        <f>ROUND(2!O108*$F$114,0)</f>
        <v>0</v>
      </c>
      <c r="P160" s="279">
        <f>ROUND(2!P108*$F$114,0)</f>
        <v>0</v>
      </c>
      <c r="Q160" s="279">
        <f>ROUND(2!Q108*$F$114,0)</f>
        <v>0</v>
      </c>
      <c r="R160" s="279">
        <f>ROUND(2!R108*$F$114,0)</f>
        <v>0</v>
      </c>
      <c r="S160" s="279">
        <f>ROUND(2!S108*$F$114,0)</f>
        <v>0</v>
      </c>
      <c r="T160" s="279">
        <f>ROUND(2!T108*$F$114,0)</f>
        <v>0</v>
      </c>
      <c r="U160" s="279">
        <f>ROUND(2!U108*$F$114,0)</f>
        <v>0</v>
      </c>
      <c r="V160" s="279">
        <f>ROUND(2!V108*$F$114,0)</f>
        <v>0</v>
      </c>
      <c r="W160" s="279">
        <f>ROUND(2!W108*$F$114,0)</f>
        <v>0</v>
      </c>
      <c r="X160" s="279">
        <f>ROUND(2!X108*$F$114,0)</f>
        <v>0</v>
      </c>
      <c r="Y160" s="279">
        <f>ROUND(2!Y108*$F$114,0)</f>
        <v>0</v>
      </c>
      <c r="Z160" s="279">
        <f>ROUND(2!Z108*$F$114,0)</f>
        <v>0</v>
      </c>
      <c r="AA160" s="279">
        <f>ROUND(2!AA108*$F$114,0)</f>
        <v>0</v>
      </c>
    </row>
    <row r="161" spans="3:27" s="166" customFormat="1" ht="25.5">
      <c r="C161" s="410" t="str">
        <f>1!C36</f>
        <v>Izglītības programmu grupa: "viesnīcu un restorānu paklapojumi"  ,  "tūrisma un atpūtas organizācija" (izglītības klasifikācijas koda 3., 4. un 5.cipars "811"  vai "812") </v>
      </c>
      <c r="D161" s="166" t="s">
        <v>152</v>
      </c>
      <c r="G161" s="249"/>
      <c r="H161" s="235"/>
      <c r="I161" s="235"/>
      <c r="J161" s="235"/>
      <c r="K161" s="235">
        <v>0</v>
      </c>
      <c r="L161" s="236"/>
      <c r="M161" s="237"/>
      <c r="N161" s="237">
        <v>0</v>
      </c>
      <c r="O161" s="279">
        <f>ROUND(2!O109*$F$114,0)</f>
        <v>0</v>
      </c>
      <c r="P161" s="279">
        <f>ROUND(2!P109*$F$114,0)</f>
        <v>0</v>
      </c>
      <c r="Q161" s="279">
        <f>ROUND(2!Q109*$F$114,0)</f>
        <v>0</v>
      </c>
      <c r="R161" s="279">
        <f>ROUND(2!R109*$F$114,0)</f>
        <v>0</v>
      </c>
      <c r="S161" s="279">
        <f>ROUND(2!S109*$F$114,0)</f>
        <v>0</v>
      </c>
      <c r="T161" s="279">
        <f>ROUND(2!T109*$F$114,0)</f>
        <v>0</v>
      </c>
      <c r="U161" s="279">
        <f>ROUND(2!U109*$F$114,0)</f>
        <v>0</v>
      </c>
      <c r="V161" s="279">
        <f>ROUND(2!V109*$F$114,0)</f>
        <v>0</v>
      </c>
      <c r="W161" s="279">
        <f>ROUND(2!W109*$F$114,0)</f>
        <v>0</v>
      </c>
      <c r="X161" s="279">
        <f>ROUND(2!X109*$F$114,0)</f>
        <v>0</v>
      </c>
      <c r="Y161" s="279">
        <f>ROUND(2!Y109*$F$114,0)</f>
        <v>0</v>
      </c>
      <c r="Z161" s="279">
        <f>ROUND(2!Z109*$F$114,0)</f>
        <v>0</v>
      </c>
      <c r="AA161" s="279">
        <f>ROUND(2!AA109*$F$114,0)</f>
        <v>0</v>
      </c>
    </row>
    <row r="162" spans="3:28" s="166" customFormat="1" ht="12.75">
      <c r="C162" s="422" t="s">
        <v>21</v>
      </c>
      <c r="G162" s="216"/>
      <c r="H162" s="216"/>
      <c r="I162" s="216"/>
      <c r="J162" s="216"/>
      <c r="K162" s="216"/>
      <c r="L162" s="216"/>
      <c r="M162" s="216"/>
      <c r="N162" s="423"/>
      <c r="O162" s="423">
        <f aca="true" t="shared" si="33" ref="O162:Z162">SUM(O158:O161)</f>
        <v>0</v>
      </c>
      <c r="P162" s="423">
        <f t="shared" si="33"/>
        <v>0</v>
      </c>
      <c r="Q162" s="423">
        <f t="shared" si="33"/>
        <v>0</v>
      </c>
      <c r="R162" s="423">
        <f t="shared" si="33"/>
        <v>0</v>
      </c>
      <c r="S162" s="423">
        <f t="shared" si="33"/>
        <v>0</v>
      </c>
      <c r="T162" s="423">
        <f t="shared" si="33"/>
        <v>0</v>
      </c>
      <c r="U162" s="423">
        <f t="shared" si="33"/>
        <v>0</v>
      </c>
      <c r="V162" s="423">
        <f t="shared" si="33"/>
        <v>0</v>
      </c>
      <c r="W162" s="423">
        <f t="shared" si="33"/>
        <v>0</v>
      </c>
      <c r="X162" s="423">
        <f t="shared" si="33"/>
        <v>0</v>
      </c>
      <c r="Y162" s="423">
        <f t="shared" si="33"/>
        <v>0</v>
      </c>
      <c r="Z162" s="423">
        <f t="shared" si="33"/>
        <v>0</v>
      </c>
      <c r="AA162" s="423">
        <f>SUM(AA158:AA161)</f>
        <v>0</v>
      </c>
      <c r="AB162" s="216"/>
    </row>
    <row r="163" s="166" customFormat="1" ht="12.75"/>
    <row r="164" s="263" customFormat="1" ht="12.75">
      <c r="C164" s="263" t="s">
        <v>309</v>
      </c>
    </row>
    <row r="165" s="166" customFormat="1" ht="12.75"/>
    <row r="166" s="166" customFormat="1" ht="12.75">
      <c r="C166" s="269" t="s">
        <v>280</v>
      </c>
    </row>
    <row r="167" s="166" customFormat="1" ht="12.75">
      <c r="C167" s="224" t="str">
        <f>C131</f>
        <v>Izglītojamo skaits, kas izvēlas profesionālo izglītību vispārējās vidējās izglītības vietā (kumulatīvi) +1 gads</v>
      </c>
    </row>
    <row r="168" spans="3:11" s="166" customFormat="1" ht="15">
      <c r="C168" s="421"/>
      <c r="F168" s="496"/>
      <c r="G168" s="502"/>
      <c r="H168" s="540" t="s">
        <v>273</v>
      </c>
      <c r="I168" s="540"/>
      <c r="J168" s="540"/>
      <c r="K168" s="540"/>
    </row>
    <row r="169" spans="3:27" s="166" customFormat="1" ht="25.5">
      <c r="C169" s="410" t="s">
        <v>54</v>
      </c>
      <c r="D169" s="166" t="s">
        <v>52</v>
      </c>
      <c r="G169" s="249"/>
      <c r="H169" s="235"/>
      <c r="I169" s="235"/>
      <c r="J169" s="235"/>
      <c r="K169" s="235">
        <v>0</v>
      </c>
      <c r="L169" s="419">
        <f>L133*$G123*($G117-$H117)</f>
        <v>0</v>
      </c>
      <c r="M169" s="419">
        <f aca="true" t="shared" si="34" ref="M169:Z169">M133*$G123*($G117-$H117)</f>
        <v>0</v>
      </c>
      <c r="N169" s="419">
        <f t="shared" si="34"/>
        <v>0</v>
      </c>
      <c r="O169" s="419">
        <f t="shared" si="34"/>
        <v>0</v>
      </c>
      <c r="P169" s="419">
        <f t="shared" si="34"/>
        <v>0</v>
      </c>
      <c r="Q169" s="419">
        <f t="shared" si="34"/>
        <v>0</v>
      </c>
      <c r="R169" s="419">
        <f t="shared" si="34"/>
        <v>0</v>
      </c>
      <c r="S169" s="419">
        <f t="shared" si="34"/>
        <v>0</v>
      </c>
      <c r="T169" s="419">
        <f t="shared" si="34"/>
        <v>0</v>
      </c>
      <c r="U169" s="419">
        <f t="shared" si="34"/>
        <v>0</v>
      </c>
      <c r="V169" s="419">
        <f t="shared" si="34"/>
        <v>0</v>
      </c>
      <c r="W169" s="419">
        <f t="shared" si="34"/>
        <v>0</v>
      </c>
      <c r="X169" s="419">
        <f t="shared" si="34"/>
        <v>0</v>
      </c>
      <c r="Y169" s="419">
        <f t="shared" si="34"/>
        <v>0</v>
      </c>
      <c r="Z169" s="419">
        <f t="shared" si="34"/>
        <v>0</v>
      </c>
      <c r="AA169" s="419">
        <f>AA133*$G123*($G117-$H117)</f>
        <v>0</v>
      </c>
    </row>
    <row r="170" spans="3:27" s="166" customFormat="1" ht="25.5">
      <c r="C170" s="410" t="s">
        <v>55</v>
      </c>
      <c r="D170" s="166" t="s">
        <v>52</v>
      </c>
      <c r="G170" s="249"/>
      <c r="H170" s="235"/>
      <c r="I170" s="235"/>
      <c r="J170" s="235"/>
      <c r="K170" s="235">
        <v>0</v>
      </c>
      <c r="L170" s="419">
        <f aca="true" t="shared" si="35" ref="L170:Z170">L134*$G124*($G118-$H118)</f>
        <v>0</v>
      </c>
      <c r="M170" s="419">
        <f t="shared" si="35"/>
        <v>0</v>
      </c>
      <c r="N170" s="419">
        <f t="shared" si="35"/>
        <v>0</v>
      </c>
      <c r="O170" s="419">
        <f t="shared" si="35"/>
        <v>0</v>
      </c>
      <c r="P170" s="419">
        <f t="shared" si="35"/>
        <v>0</v>
      </c>
      <c r="Q170" s="419">
        <f t="shared" si="35"/>
        <v>0</v>
      </c>
      <c r="R170" s="419">
        <f t="shared" si="35"/>
        <v>0</v>
      </c>
      <c r="S170" s="419">
        <f t="shared" si="35"/>
        <v>0</v>
      </c>
      <c r="T170" s="419">
        <f t="shared" si="35"/>
        <v>0</v>
      </c>
      <c r="U170" s="419">
        <f t="shared" si="35"/>
        <v>0</v>
      </c>
      <c r="V170" s="419">
        <f t="shared" si="35"/>
        <v>0</v>
      </c>
      <c r="W170" s="419">
        <f t="shared" si="35"/>
        <v>0</v>
      </c>
      <c r="X170" s="419">
        <f t="shared" si="35"/>
        <v>0</v>
      </c>
      <c r="Y170" s="419">
        <f t="shared" si="35"/>
        <v>0</v>
      </c>
      <c r="Z170" s="419">
        <f t="shared" si="35"/>
        <v>0</v>
      </c>
      <c r="AA170" s="419">
        <f>AA134*$G124*($G118-$H118)</f>
        <v>0</v>
      </c>
    </row>
    <row r="171" spans="3:27" s="166" customFormat="1" ht="25.5">
      <c r="C171" s="410" t="s">
        <v>56</v>
      </c>
      <c r="D171" s="166" t="s">
        <v>52</v>
      </c>
      <c r="G171" s="249"/>
      <c r="H171" s="235"/>
      <c r="I171" s="235"/>
      <c r="J171" s="235"/>
      <c r="K171" s="235">
        <v>0</v>
      </c>
      <c r="L171" s="419">
        <f aca="true" t="shared" si="36" ref="L171:Z171">L135*$G125*($G119-$H119)</f>
        <v>0</v>
      </c>
      <c r="M171" s="419">
        <f t="shared" si="36"/>
        <v>0</v>
      </c>
      <c r="N171" s="419">
        <f t="shared" si="36"/>
        <v>0</v>
      </c>
      <c r="O171" s="419">
        <f t="shared" si="36"/>
        <v>0</v>
      </c>
      <c r="P171" s="419">
        <f t="shared" si="36"/>
        <v>0</v>
      </c>
      <c r="Q171" s="419">
        <f t="shared" si="36"/>
        <v>0</v>
      </c>
      <c r="R171" s="419">
        <f t="shared" si="36"/>
        <v>0</v>
      </c>
      <c r="S171" s="419">
        <f t="shared" si="36"/>
        <v>0</v>
      </c>
      <c r="T171" s="419">
        <f t="shared" si="36"/>
        <v>0</v>
      </c>
      <c r="U171" s="419">
        <f t="shared" si="36"/>
        <v>0</v>
      </c>
      <c r="V171" s="419">
        <f t="shared" si="36"/>
        <v>0</v>
      </c>
      <c r="W171" s="419">
        <f t="shared" si="36"/>
        <v>0</v>
      </c>
      <c r="X171" s="419">
        <f t="shared" si="36"/>
        <v>0</v>
      </c>
      <c r="Y171" s="419">
        <f t="shared" si="36"/>
        <v>0</v>
      </c>
      <c r="Z171" s="419">
        <f t="shared" si="36"/>
        <v>0</v>
      </c>
      <c r="AA171" s="419">
        <f>AA135*$G125*($G119-$H119)</f>
        <v>0</v>
      </c>
    </row>
    <row r="172" spans="3:27" s="166" customFormat="1" ht="25.5">
      <c r="C172" s="410" t="s">
        <v>672</v>
      </c>
      <c r="G172" s="249"/>
      <c r="H172" s="235"/>
      <c r="I172" s="235"/>
      <c r="J172" s="235"/>
      <c r="K172" s="235">
        <v>0</v>
      </c>
      <c r="L172" s="419">
        <f aca="true" t="shared" si="37" ref="L172:Z172">L136*$G126*($G120-$H120)</f>
        <v>0</v>
      </c>
      <c r="M172" s="419">
        <f t="shared" si="37"/>
        <v>0</v>
      </c>
      <c r="N172" s="419">
        <f t="shared" si="37"/>
        <v>0</v>
      </c>
      <c r="O172" s="419">
        <f t="shared" si="37"/>
        <v>0</v>
      </c>
      <c r="P172" s="419">
        <f t="shared" si="37"/>
        <v>0</v>
      </c>
      <c r="Q172" s="419">
        <f t="shared" si="37"/>
        <v>0</v>
      </c>
      <c r="R172" s="419">
        <f t="shared" si="37"/>
        <v>0</v>
      </c>
      <c r="S172" s="419">
        <f t="shared" si="37"/>
        <v>0</v>
      </c>
      <c r="T172" s="419">
        <f t="shared" si="37"/>
        <v>0</v>
      </c>
      <c r="U172" s="419">
        <f t="shared" si="37"/>
        <v>0</v>
      </c>
      <c r="V172" s="419">
        <f t="shared" si="37"/>
        <v>0</v>
      </c>
      <c r="W172" s="419">
        <f t="shared" si="37"/>
        <v>0</v>
      </c>
      <c r="X172" s="419">
        <f t="shared" si="37"/>
        <v>0</v>
      </c>
      <c r="Y172" s="419">
        <f t="shared" si="37"/>
        <v>0</v>
      </c>
      <c r="Z172" s="419">
        <f t="shared" si="37"/>
        <v>0</v>
      </c>
      <c r="AA172" s="419">
        <f>AA136*$G126*($G120-$H120)</f>
        <v>0</v>
      </c>
    </row>
    <row r="173" s="166" customFormat="1" ht="12.75">
      <c r="G173" s="419"/>
    </row>
    <row r="174" spans="3:7" s="166" customFormat="1" ht="12.75">
      <c r="C174" s="224" t="str">
        <f>C139</f>
        <v>Izglītojamo skaits, kas izvēlas studēt profesionālās izglītības iestādē nevis uzsākt darbu pēc pamatskolas beigšanas (kumulatīvi) +4 gadi</v>
      </c>
      <c r="G174" s="419"/>
    </row>
    <row r="175" spans="3:11" s="166" customFormat="1" ht="15">
      <c r="C175" s="421"/>
      <c r="F175" s="497"/>
      <c r="G175" s="502"/>
      <c r="H175" s="540" t="s">
        <v>273</v>
      </c>
      <c r="I175" s="540"/>
      <c r="J175" s="540"/>
      <c r="K175" s="540"/>
    </row>
    <row r="176" spans="3:27" s="166" customFormat="1" ht="25.5">
      <c r="C176" s="410" t="s">
        <v>54</v>
      </c>
      <c r="D176" s="166" t="s">
        <v>52</v>
      </c>
      <c r="G176" s="249"/>
      <c r="H176" s="235"/>
      <c r="I176" s="235"/>
      <c r="J176" s="235"/>
      <c r="K176" s="235">
        <v>0</v>
      </c>
      <c r="L176" s="419">
        <f aca="true" t="shared" si="38" ref="L176:Z176">L141*$G123*($G117-$I117)</f>
        <v>0</v>
      </c>
      <c r="M176" s="419">
        <f t="shared" si="38"/>
        <v>0</v>
      </c>
      <c r="N176" s="419">
        <f t="shared" si="38"/>
        <v>0</v>
      </c>
      <c r="O176" s="419">
        <f t="shared" si="38"/>
        <v>0</v>
      </c>
      <c r="P176" s="419">
        <f t="shared" si="38"/>
        <v>0</v>
      </c>
      <c r="Q176" s="419">
        <f t="shared" si="38"/>
        <v>0</v>
      </c>
      <c r="R176" s="419">
        <f t="shared" si="38"/>
        <v>0</v>
      </c>
      <c r="S176" s="419">
        <f t="shared" si="38"/>
        <v>0</v>
      </c>
      <c r="T176" s="419">
        <f t="shared" si="38"/>
        <v>0</v>
      </c>
      <c r="U176" s="419">
        <f t="shared" si="38"/>
        <v>0</v>
      </c>
      <c r="V176" s="419">
        <f t="shared" si="38"/>
        <v>0</v>
      </c>
      <c r="W176" s="419">
        <f t="shared" si="38"/>
        <v>0</v>
      </c>
      <c r="X176" s="419">
        <f t="shared" si="38"/>
        <v>0</v>
      </c>
      <c r="Y176" s="419">
        <f t="shared" si="38"/>
        <v>0</v>
      </c>
      <c r="Z176" s="419">
        <f t="shared" si="38"/>
        <v>0</v>
      </c>
      <c r="AA176" s="419">
        <f>AA141*$G123*($G117-$I117)</f>
        <v>0</v>
      </c>
    </row>
    <row r="177" spans="3:27" s="166" customFormat="1" ht="25.5">
      <c r="C177" s="410" t="s">
        <v>55</v>
      </c>
      <c r="D177" s="166" t="s">
        <v>52</v>
      </c>
      <c r="G177" s="249"/>
      <c r="H177" s="235"/>
      <c r="I177" s="235"/>
      <c r="J177" s="235"/>
      <c r="K177" s="235">
        <v>0</v>
      </c>
      <c r="L177" s="419">
        <f aca="true" t="shared" si="39" ref="L177:Z177">L142*$G124*($G118-$I118)</f>
        <v>0</v>
      </c>
      <c r="M177" s="419">
        <f t="shared" si="39"/>
        <v>0</v>
      </c>
      <c r="N177" s="419">
        <f t="shared" si="39"/>
        <v>0</v>
      </c>
      <c r="O177" s="419">
        <f t="shared" si="39"/>
        <v>0</v>
      </c>
      <c r="P177" s="419">
        <f t="shared" si="39"/>
        <v>0</v>
      </c>
      <c r="Q177" s="419">
        <f t="shared" si="39"/>
        <v>0</v>
      </c>
      <c r="R177" s="419">
        <f t="shared" si="39"/>
        <v>0</v>
      </c>
      <c r="S177" s="419">
        <f t="shared" si="39"/>
        <v>0</v>
      </c>
      <c r="T177" s="419">
        <f t="shared" si="39"/>
        <v>0</v>
      </c>
      <c r="U177" s="419">
        <f t="shared" si="39"/>
        <v>0</v>
      </c>
      <c r="V177" s="419">
        <f t="shared" si="39"/>
        <v>0</v>
      </c>
      <c r="W177" s="419">
        <f t="shared" si="39"/>
        <v>0</v>
      </c>
      <c r="X177" s="419">
        <f t="shared" si="39"/>
        <v>0</v>
      </c>
      <c r="Y177" s="419">
        <f t="shared" si="39"/>
        <v>0</v>
      </c>
      <c r="Z177" s="419">
        <f t="shared" si="39"/>
        <v>0</v>
      </c>
      <c r="AA177" s="419">
        <f>AA142*$G124*($G118-$I118)</f>
        <v>0</v>
      </c>
    </row>
    <row r="178" spans="3:27" s="166" customFormat="1" ht="25.5">
      <c r="C178" s="410" t="s">
        <v>56</v>
      </c>
      <c r="D178" s="166" t="s">
        <v>52</v>
      </c>
      <c r="G178" s="249"/>
      <c r="H178" s="235"/>
      <c r="I178" s="235"/>
      <c r="J178" s="235"/>
      <c r="K178" s="235">
        <v>0</v>
      </c>
      <c r="L178" s="419">
        <f aca="true" t="shared" si="40" ref="L178:Z178">L143*$G125*($G119-$I119)</f>
        <v>0</v>
      </c>
      <c r="M178" s="419">
        <f t="shared" si="40"/>
        <v>0</v>
      </c>
      <c r="N178" s="419">
        <f t="shared" si="40"/>
        <v>0</v>
      </c>
      <c r="O178" s="419">
        <f t="shared" si="40"/>
        <v>0</v>
      </c>
      <c r="P178" s="419">
        <f t="shared" si="40"/>
        <v>0</v>
      </c>
      <c r="Q178" s="419">
        <f t="shared" si="40"/>
        <v>0</v>
      </c>
      <c r="R178" s="419">
        <f t="shared" si="40"/>
        <v>0</v>
      </c>
      <c r="S178" s="419">
        <f t="shared" si="40"/>
        <v>0</v>
      </c>
      <c r="T178" s="419">
        <f t="shared" si="40"/>
        <v>0</v>
      </c>
      <c r="U178" s="419">
        <f t="shared" si="40"/>
        <v>0</v>
      </c>
      <c r="V178" s="419">
        <f t="shared" si="40"/>
        <v>0</v>
      </c>
      <c r="W178" s="419">
        <f t="shared" si="40"/>
        <v>0</v>
      </c>
      <c r="X178" s="419">
        <f t="shared" si="40"/>
        <v>0</v>
      </c>
      <c r="Y178" s="419">
        <f t="shared" si="40"/>
        <v>0</v>
      </c>
      <c r="Z178" s="419">
        <f t="shared" si="40"/>
        <v>0</v>
      </c>
      <c r="AA178" s="419">
        <f>AA143*$G125*($G119-$I119)</f>
        <v>0</v>
      </c>
    </row>
    <row r="179" spans="3:27" s="166" customFormat="1" ht="25.5">
      <c r="C179" s="410" t="s">
        <v>672</v>
      </c>
      <c r="D179" s="166" t="s">
        <v>52</v>
      </c>
      <c r="G179" s="249"/>
      <c r="H179" s="235"/>
      <c r="I179" s="235"/>
      <c r="J179" s="235"/>
      <c r="K179" s="235">
        <v>0</v>
      </c>
      <c r="L179" s="419">
        <f aca="true" t="shared" si="41" ref="L179:Z179">L144*$G126*($G120-$I120)</f>
        <v>0</v>
      </c>
      <c r="M179" s="419">
        <f t="shared" si="41"/>
        <v>0</v>
      </c>
      <c r="N179" s="419">
        <f t="shared" si="41"/>
        <v>0</v>
      </c>
      <c r="O179" s="419">
        <f t="shared" si="41"/>
        <v>0</v>
      </c>
      <c r="P179" s="419">
        <f t="shared" si="41"/>
        <v>0</v>
      </c>
      <c r="Q179" s="419">
        <f t="shared" si="41"/>
        <v>0</v>
      </c>
      <c r="R179" s="419">
        <f t="shared" si="41"/>
        <v>0</v>
      </c>
      <c r="S179" s="419">
        <f t="shared" si="41"/>
        <v>0</v>
      </c>
      <c r="T179" s="419">
        <f t="shared" si="41"/>
        <v>0</v>
      </c>
      <c r="U179" s="419">
        <f t="shared" si="41"/>
        <v>0</v>
      </c>
      <c r="V179" s="419">
        <f t="shared" si="41"/>
        <v>0</v>
      </c>
      <c r="W179" s="419">
        <f t="shared" si="41"/>
        <v>0</v>
      </c>
      <c r="X179" s="419">
        <f t="shared" si="41"/>
        <v>0</v>
      </c>
      <c r="Y179" s="419">
        <f t="shared" si="41"/>
        <v>0</v>
      </c>
      <c r="Z179" s="419">
        <f t="shared" si="41"/>
        <v>0</v>
      </c>
      <c r="AA179" s="419">
        <f>AA144*$G126*($G120-$I120)</f>
        <v>0</v>
      </c>
    </row>
    <row r="180" spans="3:27" s="424" customFormat="1" ht="12.75">
      <c r="C180" s="425" t="s">
        <v>21</v>
      </c>
      <c r="G180" s="426"/>
      <c r="H180" s="426"/>
      <c r="I180" s="426"/>
      <c r="J180" s="426"/>
      <c r="K180" s="426"/>
      <c r="L180" s="426">
        <f aca="true" t="shared" si="42" ref="L180:Z180">SUM(L169:L172)+SUM(L176:L179)</f>
        <v>0</v>
      </c>
      <c r="M180" s="426">
        <f t="shared" si="42"/>
        <v>0</v>
      </c>
      <c r="N180" s="426">
        <f t="shared" si="42"/>
        <v>0</v>
      </c>
      <c r="O180" s="426">
        <f t="shared" si="42"/>
        <v>0</v>
      </c>
      <c r="P180" s="426">
        <f t="shared" si="42"/>
        <v>0</v>
      </c>
      <c r="Q180" s="426">
        <f t="shared" si="42"/>
        <v>0</v>
      </c>
      <c r="R180" s="426">
        <f t="shared" si="42"/>
        <v>0</v>
      </c>
      <c r="S180" s="426">
        <f t="shared" si="42"/>
        <v>0</v>
      </c>
      <c r="T180" s="426">
        <f t="shared" si="42"/>
        <v>0</v>
      </c>
      <c r="U180" s="426">
        <f t="shared" si="42"/>
        <v>0</v>
      </c>
      <c r="V180" s="426">
        <f t="shared" si="42"/>
        <v>0</v>
      </c>
      <c r="W180" s="426">
        <f t="shared" si="42"/>
        <v>0</v>
      </c>
      <c r="X180" s="426">
        <f t="shared" si="42"/>
        <v>0</v>
      </c>
      <c r="Y180" s="426">
        <f t="shared" si="42"/>
        <v>0</v>
      </c>
      <c r="Z180" s="426">
        <f t="shared" si="42"/>
        <v>0</v>
      </c>
      <c r="AA180" s="426">
        <f>SUM(AA169:AA172)+SUM(AA176:AA179)</f>
        <v>0</v>
      </c>
    </row>
    <row r="181" s="166" customFormat="1" ht="12.75"/>
    <row r="182" s="166" customFormat="1" ht="12.75">
      <c r="C182" s="269" t="s">
        <v>289</v>
      </c>
    </row>
    <row r="183" s="166" customFormat="1" ht="12.75">
      <c r="C183" s="224" t="s">
        <v>279</v>
      </c>
    </row>
    <row r="184" spans="3:14" s="166" customFormat="1" ht="15">
      <c r="C184" s="421"/>
      <c r="D184" s="166" t="s">
        <v>52</v>
      </c>
      <c r="G184" s="502"/>
      <c r="H184" s="540" t="s">
        <v>273</v>
      </c>
      <c r="I184" s="540"/>
      <c r="J184" s="540"/>
      <c r="K184" s="540"/>
      <c r="L184" s="540" t="s">
        <v>272</v>
      </c>
      <c r="M184" s="540"/>
      <c r="N184" s="540"/>
    </row>
    <row r="185" spans="3:27" s="166" customFormat="1" ht="25.5">
      <c r="C185" s="410" t="s">
        <v>54</v>
      </c>
      <c r="D185" s="166" t="s">
        <v>52</v>
      </c>
      <c r="G185" s="249"/>
      <c r="H185" s="235"/>
      <c r="I185" s="235"/>
      <c r="J185" s="235"/>
      <c r="K185" s="235">
        <v>0</v>
      </c>
      <c r="L185" s="236"/>
      <c r="M185" s="237"/>
      <c r="N185" s="237">
        <v>0</v>
      </c>
      <c r="O185" s="419">
        <f>O150*$G123*($F117-$H117)</f>
        <v>0</v>
      </c>
      <c r="P185" s="419">
        <f aca="true" t="shared" si="43" ref="P185:Z185">P150*$G123*($F117-$H117)</f>
        <v>0</v>
      </c>
      <c r="Q185" s="419">
        <f t="shared" si="43"/>
        <v>0</v>
      </c>
      <c r="R185" s="419">
        <f t="shared" si="43"/>
        <v>0</v>
      </c>
      <c r="S185" s="419">
        <f t="shared" si="43"/>
        <v>0</v>
      </c>
      <c r="T185" s="419">
        <f t="shared" si="43"/>
        <v>0</v>
      </c>
      <c r="U185" s="419">
        <f t="shared" si="43"/>
        <v>0</v>
      </c>
      <c r="V185" s="419">
        <f t="shared" si="43"/>
        <v>0</v>
      </c>
      <c r="W185" s="419">
        <f t="shared" si="43"/>
        <v>0</v>
      </c>
      <c r="X185" s="419">
        <f t="shared" si="43"/>
        <v>0</v>
      </c>
      <c r="Y185" s="419">
        <f t="shared" si="43"/>
        <v>0</v>
      </c>
      <c r="Z185" s="419">
        <f t="shared" si="43"/>
        <v>0</v>
      </c>
      <c r="AA185" s="419">
        <f>AA150*$G123*($F117-$H117)</f>
        <v>0</v>
      </c>
    </row>
    <row r="186" spans="3:27" s="166" customFormat="1" ht="25.5">
      <c r="C186" s="410" t="s">
        <v>55</v>
      </c>
      <c r="D186" s="166" t="s">
        <v>52</v>
      </c>
      <c r="G186" s="249"/>
      <c r="H186" s="235"/>
      <c r="I186" s="235"/>
      <c r="J186" s="235"/>
      <c r="K186" s="235">
        <v>0</v>
      </c>
      <c r="L186" s="236"/>
      <c r="M186" s="237"/>
      <c r="N186" s="237">
        <v>0</v>
      </c>
      <c r="O186" s="419">
        <f aca="true" t="shared" si="44" ref="O186:Z186">O151*$G124*($F118-$H118)</f>
        <v>0</v>
      </c>
      <c r="P186" s="419">
        <f t="shared" si="44"/>
        <v>0</v>
      </c>
      <c r="Q186" s="419">
        <f t="shared" si="44"/>
        <v>0</v>
      </c>
      <c r="R186" s="419">
        <f t="shared" si="44"/>
        <v>0</v>
      </c>
      <c r="S186" s="419">
        <f t="shared" si="44"/>
        <v>0</v>
      </c>
      <c r="T186" s="419">
        <f t="shared" si="44"/>
        <v>0</v>
      </c>
      <c r="U186" s="419">
        <f t="shared" si="44"/>
        <v>0</v>
      </c>
      <c r="V186" s="419">
        <f t="shared" si="44"/>
        <v>0</v>
      </c>
      <c r="W186" s="419">
        <f t="shared" si="44"/>
        <v>0</v>
      </c>
      <c r="X186" s="419">
        <f t="shared" si="44"/>
        <v>0</v>
      </c>
      <c r="Y186" s="419">
        <f t="shared" si="44"/>
        <v>0</v>
      </c>
      <c r="Z186" s="419">
        <f t="shared" si="44"/>
        <v>0</v>
      </c>
      <c r="AA186" s="419">
        <f>AA151*$G124*($F118-$H118)</f>
        <v>0</v>
      </c>
    </row>
    <row r="187" spans="3:27" s="166" customFormat="1" ht="25.5">
      <c r="C187" s="410" t="s">
        <v>56</v>
      </c>
      <c r="D187" s="166" t="s">
        <v>52</v>
      </c>
      <c r="G187" s="249"/>
      <c r="H187" s="235"/>
      <c r="I187" s="235"/>
      <c r="J187" s="235"/>
      <c r="K187" s="235">
        <v>0</v>
      </c>
      <c r="L187" s="236"/>
      <c r="M187" s="237"/>
      <c r="N187" s="237">
        <v>0</v>
      </c>
      <c r="O187" s="419">
        <f aca="true" t="shared" si="45" ref="O187:Z187">O152*$G125*($F119-$H119)</f>
        <v>0</v>
      </c>
      <c r="P187" s="419">
        <f t="shared" si="45"/>
        <v>0</v>
      </c>
      <c r="Q187" s="419">
        <f t="shared" si="45"/>
        <v>0</v>
      </c>
      <c r="R187" s="419">
        <f t="shared" si="45"/>
        <v>0</v>
      </c>
      <c r="S187" s="419">
        <f t="shared" si="45"/>
        <v>0</v>
      </c>
      <c r="T187" s="419">
        <f t="shared" si="45"/>
        <v>0</v>
      </c>
      <c r="U187" s="419">
        <f t="shared" si="45"/>
        <v>0</v>
      </c>
      <c r="V187" s="419">
        <f t="shared" si="45"/>
        <v>0</v>
      </c>
      <c r="W187" s="419">
        <f t="shared" si="45"/>
        <v>0</v>
      </c>
      <c r="X187" s="419">
        <f t="shared" si="45"/>
        <v>0</v>
      </c>
      <c r="Y187" s="419">
        <f t="shared" si="45"/>
        <v>0</v>
      </c>
      <c r="Z187" s="419">
        <f t="shared" si="45"/>
        <v>0</v>
      </c>
      <c r="AA187" s="419">
        <f>AA152*$G125*($F119-$H119)</f>
        <v>0</v>
      </c>
    </row>
    <row r="188" spans="3:27" s="166" customFormat="1" ht="25.5">
      <c r="C188" s="410" t="s">
        <v>672</v>
      </c>
      <c r="G188" s="249"/>
      <c r="H188" s="235"/>
      <c r="I188" s="235"/>
      <c r="J188" s="235"/>
      <c r="K188" s="235">
        <v>0</v>
      </c>
      <c r="L188" s="236"/>
      <c r="M188" s="237"/>
      <c r="N188" s="237">
        <v>0</v>
      </c>
      <c r="O188" s="419">
        <f aca="true" t="shared" si="46" ref="O188:Z188">O153*$G126*($F120-$H120)</f>
        <v>0</v>
      </c>
      <c r="P188" s="419">
        <f t="shared" si="46"/>
        <v>0</v>
      </c>
      <c r="Q188" s="419">
        <f t="shared" si="46"/>
        <v>0</v>
      </c>
      <c r="R188" s="419">
        <f t="shared" si="46"/>
        <v>0</v>
      </c>
      <c r="S188" s="419">
        <f t="shared" si="46"/>
        <v>0</v>
      </c>
      <c r="T188" s="419">
        <f t="shared" si="46"/>
        <v>0</v>
      </c>
      <c r="U188" s="419">
        <f t="shared" si="46"/>
        <v>0</v>
      </c>
      <c r="V188" s="419">
        <f t="shared" si="46"/>
        <v>0</v>
      </c>
      <c r="W188" s="419">
        <f t="shared" si="46"/>
        <v>0</v>
      </c>
      <c r="X188" s="419">
        <f t="shared" si="46"/>
        <v>0</v>
      </c>
      <c r="Y188" s="419">
        <f t="shared" si="46"/>
        <v>0</v>
      </c>
      <c r="Z188" s="419">
        <f t="shared" si="46"/>
        <v>0</v>
      </c>
      <c r="AA188" s="419">
        <f>AA153*$G126*($F120-$H120)</f>
        <v>0</v>
      </c>
    </row>
    <row r="189" spans="7:14" s="166" customFormat="1" ht="12.75">
      <c r="G189" s="216"/>
      <c r="H189" s="216"/>
      <c r="I189" s="216"/>
      <c r="J189" s="216"/>
      <c r="K189" s="216"/>
      <c r="L189" s="216"/>
      <c r="M189" s="216"/>
      <c r="N189" s="423"/>
    </row>
    <row r="190" s="166" customFormat="1" ht="12.75">
      <c r="C190" s="224" t="s">
        <v>278</v>
      </c>
    </row>
    <row r="191" spans="3:14" s="166" customFormat="1" ht="15">
      <c r="C191" s="421"/>
      <c r="G191" s="502"/>
      <c r="H191" s="540" t="s">
        <v>273</v>
      </c>
      <c r="I191" s="540"/>
      <c r="J191" s="540"/>
      <c r="K191" s="540"/>
      <c r="L191" s="540" t="s">
        <v>272</v>
      </c>
      <c r="M191" s="540"/>
      <c r="N191" s="540"/>
    </row>
    <row r="192" spans="3:27" s="166" customFormat="1" ht="25.5">
      <c r="C192" s="410" t="s">
        <v>54</v>
      </c>
      <c r="D192" s="166" t="s">
        <v>52</v>
      </c>
      <c r="G192" s="249"/>
      <c r="H192" s="235"/>
      <c r="I192" s="235"/>
      <c r="J192" s="235"/>
      <c r="K192" s="235">
        <v>0</v>
      </c>
      <c r="L192" s="236"/>
      <c r="M192" s="237"/>
      <c r="N192" s="237">
        <v>0</v>
      </c>
      <c r="O192" s="419">
        <f>O158*$G123*($F117-$I117)</f>
        <v>0</v>
      </c>
      <c r="P192" s="419">
        <f aca="true" t="shared" si="47" ref="P192:Z192">P158*$G123*($F117-$I117)</f>
        <v>0</v>
      </c>
      <c r="Q192" s="419">
        <f t="shared" si="47"/>
        <v>0</v>
      </c>
      <c r="R192" s="419">
        <f t="shared" si="47"/>
        <v>0</v>
      </c>
      <c r="S192" s="419">
        <f t="shared" si="47"/>
        <v>0</v>
      </c>
      <c r="T192" s="419">
        <f t="shared" si="47"/>
        <v>0</v>
      </c>
      <c r="U192" s="419">
        <f t="shared" si="47"/>
        <v>0</v>
      </c>
      <c r="V192" s="419">
        <f t="shared" si="47"/>
        <v>0</v>
      </c>
      <c r="W192" s="419">
        <f t="shared" si="47"/>
        <v>0</v>
      </c>
      <c r="X192" s="419">
        <f t="shared" si="47"/>
        <v>0</v>
      </c>
      <c r="Y192" s="419">
        <f t="shared" si="47"/>
        <v>0</v>
      </c>
      <c r="Z192" s="419">
        <f t="shared" si="47"/>
        <v>0</v>
      </c>
      <c r="AA192" s="419">
        <f>AA158*$G123*($F117-$I117)</f>
        <v>0</v>
      </c>
    </row>
    <row r="193" spans="3:27" s="166" customFormat="1" ht="25.5">
      <c r="C193" s="410" t="s">
        <v>55</v>
      </c>
      <c r="D193" s="166" t="s">
        <v>52</v>
      </c>
      <c r="G193" s="249"/>
      <c r="H193" s="235"/>
      <c r="I193" s="235"/>
      <c r="J193" s="235"/>
      <c r="K193" s="235">
        <v>0</v>
      </c>
      <c r="L193" s="236"/>
      <c r="M193" s="237"/>
      <c r="N193" s="237">
        <v>0</v>
      </c>
      <c r="O193" s="419">
        <f aca="true" t="shared" si="48" ref="O193:Z193">O159*$G124*($F118-$I118)</f>
        <v>0</v>
      </c>
      <c r="P193" s="419">
        <f t="shared" si="48"/>
        <v>0</v>
      </c>
      <c r="Q193" s="419">
        <f t="shared" si="48"/>
        <v>0</v>
      </c>
      <c r="R193" s="419">
        <f t="shared" si="48"/>
        <v>0</v>
      </c>
      <c r="S193" s="419">
        <f t="shared" si="48"/>
        <v>0</v>
      </c>
      <c r="T193" s="419">
        <f t="shared" si="48"/>
        <v>0</v>
      </c>
      <c r="U193" s="419">
        <f t="shared" si="48"/>
        <v>0</v>
      </c>
      <c r="V193" s="419">
        <f t="shared" si="48"/>
        <v>0</v>
      </c>
      <c r="W193" s="419">
        <f t="shared" si="48"/>
        <v>0</v>
      </c>
      <c r="X193" s="419">
        <f t="shared" si="48"/>
        <v>0</v>
      </c>
      <c r="Y193" s="419">
        <f t="shared" si="48"/>
        <v>0</v>
      </c>
      <c r="Z193" s="419">
        <f t="shared" si="48"/>
        <v>0</v>
      </c>
      <c r="AA193" s="419">
        <f>AA159*$G124*($F118-$I118)</f>
        <v>0</v>
      </c>
    </row>
    <row r="194" spans="3:27" s="166" customFormat="1" ht="25.5">
      <c r="C194" s="410" t="s">
        <v>56</v>
      </c>
      <c r="D194" s="166" t="s">
        <v>52</v>
      </c>
      <c r="G194" s="249"/>
      <c r="H194" s="235"/>
      <c r="I194" s="235"/>
      <c r="J194" s="235"/>
      <c r="K194" s="235">
        <v>0</v>
      </c>
      <c r="L194" s="236"/>
      <c r="M194" s="237"/>
      <c r="N194" s="237">
        <v>0</v>
      </c>
      <c r="O194" s="419">
        <f aca="true" t="shared" si="49" ref="O194:Z194">O160*$G125*($F119-$I119)</f>
        <v>0</v>
      </c>
      <c r="P194" s="419">
        <f t="shared" si="49"/>
        <v>0</v>
      </c>
      <c r="Q194" s="419">
        <f t="shared" si="49"/>
        <v>0</v>
      </c>
      <c r="R194" s="419">
        <f t="shared" si="49"/>
        <v>0</v>
      </c>
      <c r="S194" s="419">
        <f t="shared" si="49"/>
        <v>0</v>
      </c>
      <c r="T194" s="419">
        <f t="shared" si="49"/>
        <v>0</v>
      </c>
      <c r="U194" s="419">
        <f t="shared" si="49"/>
        <v>0</v>
      </c>
      <c r="V194" s="419">
        <f t="shared" si="49"/>
        <v>0</v>
      </c>
      <c r="W194" s="419">
        <f t="shared" si="49"/>
        <v>0</v>
      </c>
      <c r="X194" s="419">
        <f t="shared" si="49"/>
        <v>0</v>
      </c>
      <c r="Y194" s="419">
        <f t="shared" si="49"/>
        <v>0</v>
      </c>
      <c r="Z194" s="419">
        <f t="shared" si="49"/>
        <v>0</v>
      </c>
      <c r="AA194" s="419">
        <f>AA160*$G125*($F119-$I119)</f>
        <v>0</v>
      </c>
    </row>
    <row r="195" spans="3:27" s="166" customFormat="1" ht="25.5">
      <c r="C195" s="410" t="s">
        <v>672</v>
      </c>
      <c r="D195" s="166" t="s">
        <v>52</v>
      </c>
      <c r="G195" s="249"/>
      <c r="H195" s="235"/>
      <c r="I195" s="235"/>
      <c r="J195" s="235"/>
      <c r="K195" s="235">
        <v>0</v>
      </c>
      <c r="L195" s="236"/>
      <c r="M195" s="237"/>
      <c r="N195" s="237">
        <v>0</v>
      </c>
      <c r="O195" s="419">
        <f aca="true" t="shared" si="50" ref="O195:Z195">O161*$G126*($F120-$I120)</f>
        <v>0</v>
      </c>
      <c r="P195" s="419">
        <f t="shared" si="50"/>
        <v>0</v>
      </c>
      <c r="Q195" s="419">
        <f t="shared" si="50"/>
        <v>0</v>
      </c>
      <c r="R195" s="419">
        <f t="shared" si="50"/>
        <v>0</v>
      </c>
      <c r="S195" s="419">
        <f t="shared" si="50"/>
        <v>0</v>
      </c>
      <c r="T195" s="419">
        <f t="shared" si="50"/>
        <v>0</v>
      </c>
      <c r="U195" s="419">
        <f t="shared" si="50"/>
        <v>0</v>
      </c>
      <c r="V195" s="419">
        <f t="shared" si="50"/>
        <v>0</v>
      </c>
      <c r="W195" s="419">
        <f t="shared" si="50"/>
        <v>0</v>
      </c>
      <c r="X195" s="419">
        <f t="shared" si="50"/>
        <v>0</v>
      </c>
      <c r="Y195" s="419">
        <f t="shared" si="50"/>
        <v>0</v>
      </c>
      <c r="Z195" s="419">
        <f t="shared" si="50"/>
        <v>0</v>
      </c>
      <c r="AA195" s="419">
        <f>AA161*$G126*($F120-$I120)</f>
        <v>0</v>
      </c>
    </row>
    <row r="196" spans="3:27" s="424" customFormat="1" ht="12.75">
      <c r="C196" s="425" t="s">
        <v>21</v>
      </c>
      <c r="G196" s="216"/>
      <c r="H196" s="216"/>
      <c r="I196" s="216"/>
      <c r="J196" s="216"/>
      <c r="K196" s="216"/>
      <c r="L196" s="216"/>
      <c r="M196" s="216"/>
      <c r="N196" s="423"/>
      <c r="O196" s="426">
        <f aca="true" t="shared" si="51" ref="O196:Z196">SUM(O185:O188)+SUM(O192:O195)</f>
        <v>0</v>
      </c>
      <c r="P196" s="426">
        <f t="shared" si="51"/>
        <v>0</v>
      </c>
      <c r="Q196" s="426">
        <f t="shared" si="51"/>
        <v>0</v>
      </c>
      <c r="R196" s="426">
        <f t="shared" si="51"/>
        <v>0</v>
      </c>
      <c r="S196" s="426">
        <f t="shared" si="51"/>
        <v>0</v>
      </c>
      <c r="T196" s="426">
        <f t="shared" si="51"/>
        <v>0</v>
      </c>
      <c r="U196" s="426">
        <f t="shared" si="51"/>
        <v>0</v>
      </c>
      <c r="V196" s="426">
        <f t="shared" si="51"/>
        <v>0</v>
      </c>
      <c r="W196" s="426">
        <f t="shared" si="51"/>
        <v>0</v>
      </c>
      <c r="X196" s="426">
        <f t="shared" si="51"/>
        <v>0</v>
      </c>
      <c r="Y196" s="426">
        <f t="shared" si="51"/>
        <v>0</v>
      </c>
      <c r="Z196" s="426">
        <f t="shared" si="51"/>
        <v>0</v>
      </c>
      <c r="AA196" s="426">
        <f>SUM(AA185:AA188)+SUM(AA192:AA195)</f>
        <v>0</v>
      </c>
    </row>
    <row r="197" s="166" customFormat="1" ht="12.75"/>
    <row r="198" spans="1:29" ht="15">
      <c r="A198" s="263"/>
      <c r="B198" s="263"/>
      <c r="C198" s="417" t="s">
        <v>589</v>
      </c>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63"/>
    </row>
    <row r="199" spans="1:29" ht="15">
      <c r="A199" s="166"/>
      <c r="B199" s="166"/>
      <c r="C199" s="498" t="s">
        <v>684</v>
      </c>
      <c r="D199" s="233"/>
      <c r="E199" s="233"/>
      <c r="F199" s="260"/>
      <c r="G199" s="502"/>
      <c r="H199" s="540" t="s">
        <v>273</v>
      </c>
      <c r="I199" s="540"/>
      <c r="J199" s="540"/>
      <c r="K199" s="540"/>
      <c r="L199" s="260"/>
      <c r="M199" s="260"/>
      <c r="N199" s="260"/>
      <c r="O199" s="260"/>
      <c r="P199" s="260"/>
      <c r="Q199" s="260"/>
      <c r="R199" s="260"/>
      <c r="S199" s="260"/>
      <c r="T199" s="248"/>
      <c r="U199" s="248"/>
      <c r="V199" s="248"/>
      <c r="W199" s="248"/>
      <c r="X199" s="248"/>
      <c r="Y199" s="248"/>
      <c r="Z199" s="248"/>
      <c r="AA199" s="248"/>
      <c r="AB199" s="233"/>
      <c r="AC199" s="166"/>
    </row>
    <row r="200" spans="1:29" ht="25.5">
      <c r="A200" s="166"/>
      <c r="B200" s="166"/>
      <c r="C200" s="415" t="s">
        <v>54</v>
      </c>
      <c r="D200" s="233"/>
      <c r="E200" s="233"/>
      <c r="F200" s="260"/>
      <c r="G200" s="249"/>
      <c r="H200" s="235"/>
      <c r="I200" s="235"/>
      <c r="J200" s="235"/>
      <c r="K200" s="235">
        <v>0</v>
      </c>
      <c r="L200" s="251">
        <f aca="true" t="shared" si="52" ref="L200:Z200">(L61-L32)*$F$113</f>
        <v>0</v>
      </c>
      <c r="M200" s="251">
        <f t="shared" si="52"/>
        <v>0</v>
      </c>
      <c r="N200" s="251">
        <f t="shared" si="52"/>
        <v>0</v>
      </c>
      <c r="O200" s="251">
        <f t="shared" si="52"/>
        <v>0</v>
      </c>
      <c r="P200" s="251">
        <f t="shared" si="52"/>
        <v>0</v>
      </c>
      <c r="Q200" s="251">
        <f t="shared" si="52"/>
        <v>0</v>
      </c>
      <c r="R200" s="251">
        <f t="shared" si="52"/>
        <v>0</v>
      </c>
      <c r="S200" s="251">
        <f t="shared" si="52"/>
        <v>0</v>
      </c>
      <c r="T200" s="251">
        <f t="shared" si="52"/>
        <v>0</v>
      </c>
      <c r="U200" s="251">
        <f t="shared" si="52"/>
        <v>0</v>
      </c>
      <c r="V200" s="251">
        <f t="shared" si="52"/>
        <v>0</v>
      </c>
      <c r="W200" s="251">
        <f t="shared" si="52"/>
        <v>0</v>
      </c>
      <c r="X200" s="251">
        <f t="shared" si="52"/>
        <v>0</v>
      </c>
      <c r="Y200" s="251">
        <f t="shared" si="52"/>
        <v>0</v>
      </c>
      <c r="Z200" s="251">
        <f t="shared" si="52"/>
        <v>0</v>
      </c>
      <c r="AA200" s="251">
        <f>(AA61-AA32)*$F$113</f>
        <v>0</v>
      </c>
      <c r="AB200" s="233"/>
      <c r="AC200" s="166"/>
    </row>
    <row r="201" spans="1:29" ht="25.5">
      <c r="A201" s="166"/>
      <c r="B201" s="166"/>
      <c r="C201" s="415" t="s">
        <v>55</v>
      </c>
      <c r="D201" s="233"/>
      <c r="E201" s="233"/>
      <c r="F201" s="260"/>
      <c r="G201" s="249"/>
      <c r="H201" s="235"/>
      <c r="I201" s="235"/>
      <c r="J201" s="235"/>
      <c r="K201" s="235">
        <v>0</v>
      </c>
      <c r="L201" s="251">
        <f aca="true" t="shared" si="53" ref="L201:Z201">(L62-L33)*$F$113</f>
        <v>0</v>
      </c>
      <c r="M201" s="251">
        <f t="shared" si="53"/>
        <v>0</v>
      </c>
      <c r="N201" s="251">
        <f t="shared" si="53"/>
        <v>0</v>
      </c>
      <c r="O201" s="251">
        <f t="shared" si="53"/>
        <v>0</v>
      </c>
      <c r="P201" s="251">
        <f t="shared" si="53"/>
        <v>0</v>
      </c>
      <c r="Q201" s="251">
        <f t="shared" si="53"/>
        <v>0</v>
      </c>
      <c r="R201" s="251">
        <f t="shared" si="53"/>
        <v>0</v>
      </c>
      <c r="S201" s="251">
        <f t="shared" si="53"/>
        <v>0</v>
      </c>
      <c r="T201" s="251">
        <f t="shared" si="53"/>
        <v>0</v>
      </c>
      <c r="U201" s="251">
        <f t="shared" si="53"/>
        <v>0</v>
      </c>
      <c r="V201" s="251">
        <f t="shared" si="53"/>
        <v>0</v>
      </c>
      <c r="W201" s="251">
        <f t="shared" si="53"/>
        <v>0</v>
      </c>
      <c r="X201" s="251">
        <f t="shared" si="53"/>
        <v>0</v>
      </c>
      <c r="Y201" s="251">
        <f t="shared" si="53"/>
        <v>0</v>
      </c>
      <c r="Z201" s="251">
        <f t="shared" si="53"/>
        <v>0</v>
      </c>
      <c r="AA201" s="251">
        <f>(AA62-AA33)*$F$113</f>
        <v>0</v>
      </c>
      <c r="AB201" s="233"/>
      <c r="AC201" s="166"/>
    </row>
    <row r="202" spans="1:29" ht="25.5">
      <c r="A202" s="166"/>
      <c r="B202" s="166"/>
      <c r="C202" s="415" t="s">
        <v>56</v>
      </c>
      <c r="D202" s="233"/>
      <c r="E202" s="233"/>
      <c r="F202" s="260"/>
      <c r="G202" s="249"/>
      <c r="H202" s="235"/>
      <c r="I202" s="235"/>
      <c r="J202" s="235"/>
      <c r="K202" s="235">
        <v>0</v>
      </c>
      <c r="L202" s="251">
        <f aca="true" t="shared" si="54" ref="L202:Z202">(L63-L34)*$F$113</f>
        <v>0</v>
      </c>
      <c r="M202" s="251">
        <f t="shared" si="54"/>
        <v>0</v>
      </c>
      <c r="N202" s="251">
        <f t="shared" si="54"/>
        <v>0</v>
      </c>
      <c r="O202" s="251">
        <f t="shared" si="54"/>
        <v>0</v>
      </c>
      <c r="P202" s="251">
        <f t="shared" si="54"/>
        <v>0</v>
      </c>
      <c r="Q202" s="251">
        <f t="shared" si="54"/>
        <v>0</v>
      </c>
      <c r="R202" s="251">
        <f t="shared" si="54"/>
        <v>0</v>
      </c>
      <c r="S202" s="251">
        <f t="shared" si="54"/>
        <v>0</v>
      </c>
      <c r="T202" s="251">
        <f t="shared" si="54"/>
        <v>0</v>
      </c>
      <c r="U202" s="251">
        <f t="shared" si="54"/>
        <v>0</v>
      </c>
      <c r="V202" s="251">
        <f t="shared" si="54"/>
        <v>0</v>
      </c>
      <c r="W202" s="251">
        <f t="shared" si="54"/>
        <v>0</v>
      </c>
      <c r="X202" s="251">
        <f t="shared" si="54"/>
        <v>0</v>
      </c>
      <c r="Y202" s="251">
        <f t="shared" si="54"/>
        <v>0</v>
      </c>
      <c r="Z202" s="251">
        <f t="shared" si="54"/>
        <v>0</v>
      </c>
      <c r="AA202" s="251">
        <f>(AA63-AA34)*$F$113</f>
        <v>0</v>
      </c>
      <c r="AB202" s="233"/>
      <c r="AC202" s="166"/>
    </row>
    <row r="203" spans="1:29" ht="25.5">
      <c r="A203" s="166"/>
      <c r="B203" s="166"/>
      <c r="C203" s="415" t="s">
        <v>672</v>
      </c>
      <c r="D203" s="233"/>
      <c r="E203" s="233"/>
      <c r="F203" s="260"/>
      <c r="G203" s="249"/>
      <c r="H203" s="235"/>
      <c r="I203" s="235"/>
      <c r="J203" s="235"/>
      <c r="K203" s="235">
        <v>0</v>
      </c>
      <c r="L203" s="251">
        <f aca="true" t="shared" si="55" ref="L203:Z203">(L64-L35)*$F$113</f>
        <v>0</v>
      </c>
      <c r="M203" s="251">
        <f t="shared" si="55"/>
        <v>0</v>
      </c>
      <c r="N203" s="251">
        <f t="shared" si="55"/>
        <v>0</v>
      </c>
      <c r="O203" s="251">
        <f t="shared" si="55"/>
        <v>0</v>
      </c>
      <c r="P203" s="251">
        <f t="shared" si="55"/>
        <v>0</v>
      </c>
      <c r="Q203" s="251">
        <f t="shared" si="55"/>
        <v>0</v>
      </c>
      <c r="R203" s="251">
        <f t="shared" si="55"/>
        <v>0</v>
      </c>
      <c r="S203" s="251">
        <f t="shared" si="55"/>
        <v>0</v>
      </c>
      <c r="T203" s="251">
        <f t="shared" si="55"/>
        <v>0</v>
      </c>
      <c r="U203" s="251">
        <f t="shared" si="55"/>
        <v>0</v>
      </c>
      <c r="V203" s="251">
        <f t="shared" si="55"/>
        <v>0</v>
      </c>
      <c r="W203" s="251">
        <f t="shared" si="55"/>
        <v>0</v>
      </c>
      <c r="X203" s="251">
        <f t="shared" si="55"/>
        <v>0</v>
      </c>
      <c r="Y203" s="251">
        <f t="shared" si="55"/>
        <v>0</v>
      </c>
      <c r="Z203" s="251">
        <f t="shared" si="55"/>
        <v>0</v>
      </c>
      <c r="AA203" s="251">
        <f>(AA64-AA35)*$F$113</f>
        <v>0</v>
      </c>
      <c r="AB203" s="233"/>
      <c r="AC203" s="166"/>
    </row>
    <row r="204" spans="1:30" ht="15">
      <c r="A204" s="166"/>
      <c r="B204" s="166"/>
      <c r="C204" s="415"/>
      <c r="D204" s="233"/>
      <c r="E204" s="233"/>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row>
    <row r="205" spans="1:256" ht="15">
      <c r="A205" s="166"/>
      <c r="B205" s="166"/>
      <c r="C205" s="498" t="s">
        <v>685</v>
      </c>
      <c r="D205" s="415"/>
      <c r="E205" s="415"/>
      <c r="F205" s="415"/>
      <c r="G205" s="502"/>
      <c r="H205" s="540" t="s">
        <v>273</v>
      </c>
      <c r="I205" s="540"/>
      <c r="J205" s="540"/>
      <c r="K205" s="540"/>
      <c r="L205" s="540" t="s">
        <v>272</v>
      </c>
      <c r="M205" s="540"/>
      <c r="N205" s="540"/>
      <c r="O205" s="415"/>
      <c r="P205" s="415"/>
      <c r="Q205" s="415"/>
      <c r="R205" s="415"/>
      <c r="S205" s="415"/>
      <c r="T205" s="415"/>
      <c r="U205" s="415"/>
      <c r="V205" s="415"/>
      <c r="W205" s="415"/>
      <c r="X205" s="415"/>
      <c r="Y205" s="415"/>
      <c r="Z205" s="415"/>
      <c r="AA205" s="415"/>
      <c r="AB205" s="415"/>
      <c r="AC205" s="415"/>
      <c r="AD205" s="415"/>
      <c r="AE205" s="415"/>
      <c r="AF205" s="415"/>
      <c r="AG205" s="415"/>
      <c r="AH205" s="415"/>
      <c r="AI205" s="415"/>
      <c r="AJ205" s="415"/>
      <c r="AK205" s="415"/>
      <c r="AL205" s="415"/>
      <c r="AM205" s="415"/>
      <c r="AN205" s="415"/>
      <c r="AO205" s="415"/>
      <c r="AP205" s="415"/>
      <c r="AQ205" s="415"/>
      <c r="AR205" s="415"/>
      <c r="AS205" s="415"/>
      <c r="AT205" s="415"/>
      <c r="AU205" s="415"/>
      <c r="AV205" s="415"/>
      <c r="AW205" s="415"/>
      <c r="AX205" s="415"/>
      <c r="AY205" s="415"/>
      <c r="AZ205" s="415"/>
      <c r="BA205" s="415"/>
      <c r="BB205" s="415"/>
      <c r="BC205" s="415"/>
      <c r="BD205" s="415"/>
      <c r="BE205" s="415"/>
      <c r="BF205" s="415"/>
      <c r="BG205" s="415"/>
      <c r="BH205" s="415"/>
      <c r="BI205" s="415"/>
      <c r="BJ205" s="415"/>
      <c r="BK205" s="415"/>
      <c r="BL205" s="415"/>
      <c r="BM205" s="415"/>
      <c r="BN205" s="415"/>
      <c r="BO205" s="415"/>
      <c r="BP205" s="415"/>
      <c r="BQ205" s="415"/>
      <c r="BR205" s="415"/>
      <c r="BS205" s="415"/>
      <c r="BT205" s="415"/>
      <c r="BU205" s="415"/>
      <c r="BV205" s="415"/>
      <c r="BW205" s="415"/>
      <c r="BX205" s="415"/>
      <c r="BY205" s="415"/>
      <c r="BZ205" s="415"/>
      <c r="CA205" s="415"/>
      <c r="CB205" s="415"/>
      <c r="CC205" s="415"/>
      <c r="CD205" s="415"/>
      <c r="CE205" s="415"/>
      <c r="CF205" s="415"/>
      <c r="CG205" s="415"/>
      <c r="CH205" s="415"/>
      <c r="CI205" s="415"/>
      <c r="CJ205" s="415"/>
      <c r="CK205" s="415"/>
      <c r="CL205" s="415"/>
      <c r="CM205" s="415"/>
      <c r="CN205" s="415"/>
      <c r="CO205" s="415"/>
      <c r="CP205" s="415"/>
      <c r="CQ205" s="415"/>
      <c r="CR205" s="415"/>
      <c r="CS205" s="415"/>
      <c r="CT205" s="415"/>
      <c r="CU205" s="415"/>
      <c r="CV205" s="415"/>
      <c r="CW205" s="415"/>
      <c r="CX205" s="415"/>
      <c r="CY205" s="415"/>
      <c r="CZ205" s="415"/>
      <c r="DA205" s="415"/>
      <c r="DB205" s="415"/>
      <c r="DC205" s="415"/>
      <c r="DD205" s="415"/>
      <c r="DE205" s="415"/>
      <c r="DF205" s="415"/>
      <c r="DG205" s="415"/>
      <c r="DH205" s="415"/>
      <c r="DI205" s="415"/>
      <c r="DJ205" s="415"/>
      <c r="DK205" s="415"/>
      <c r="DL205" s="415"/>
      <c r="DM205" s="415"/>
      <c r="DN205" s="415"/>
      <c r="DO205" s="415"/>
      <c r="DP205" s="415"/>
      <c r="DQ205" s="415"/>
      <c r="DR205" s="415"/>
      <c r="DS205" s="415"/>
      <c r="DT205" s="415"/>
      <c r="DU205" s="415"/>
      <c r="DV205" s="415"/>
      <c r="DW205" s="415"/>
      <c r="DX205" s="415"/>
      <c r="DY205" s="415"/>
      <c r="DZ205" s="415"/>
      <c r="EA205" s="415"/>
      <c r="EB205" s="415"/>
      <c r="EC205" s="415"/>
      <c r="ED205" s="415"/>
      <c r="EE205" s="415"/>
      <c r="EF205" s="415"/>
      <c r="EG205" s="415"/>
      <c r="EH205" s="415"/>
      <c r="EI205" s="415"/>
      <c r="EJ205" s="415"/>
      <c r="EK205" s="415"/>
      <c r="EL205" s="415"/>
      <c r="EM205" s="415"/>
      <c r="EN205" s="415"/>
      <c r="EO205" s="415"/>
      <c r="EP205" s="415"/>
      <c r="EQ205" s="415"/>
      <c r="ER205" s="415"/>
      <c r="ES205" s="415"/>
      <c r="ET205" s="415"/>
      <c r="EU205" s="415"/>
      <c r="EV205" s="415"/>
      <c r="EW205" s="415"/>
      <c r="EX205" s="415"/>
      <c r="EY205" s="415"/>
      <c r="EZ205" s="415"/>
      <c r="FA205" s="415"/>
      <c r="FB205" s="415"/>
      <c r="FC205" s="415"/>
      <c r="FD205" s="415"/>
      <c r="FE205" s="415"/>
      <c r="FF205" s="415"/>
      <c r="FG205" s="415"/>
      <c r="FH205" s="415"/>
      <c r="FI205" s="415"/>
      <c r="FJ205" s="415"/>
      <c r="FK205" s="415"/>
      <c r="FL205" s="415"/>
      <c r="FM205" s="415"/>
      <c r="FN205" s="415"/>
      <c r="FO205" s="415"/>
      <c r="FP205" s="415"/>
      <c r="FQ205" s="415"/>
      <c r="FR205" s="415"/>
      <c r="FS205" s="415"/>
      <c r="FT205" s="415"/>
      <c r="FU205" s="415"/>
      <c r="FV205" s="415"/>
      <c r="FW205" s="415"/>
      <c r="FX205" s="415"/>
      <c r="FY205" s="415"/>
      <c r="FZ205" s="415"/>
      <c r="GA205" s="415"/>
      <c r="GB205" s="415"/>
      <c r="GC205" s="415"/>
      <c r="GD205" s="415"/>
      <c r="GE205" s="415"/>
      <c r="GF205" s="415"/>
      <c r="GG205" s="415"/>
      <c r="GH205" s="415"/>
      <c r="GI205" s="415"/>
      <c r="GJ205" s="415"/>
      <c r="GK205" s="415"/>
      <c r="GL205" s="415"/>
      <c r="GM205" s="415"/>
      <c r="GN205" s="415"/>
      <c r="GO205" s="415"/>
      <c r="GP205" s="415"/>
      <c r="GQ205" s="415"/>
      <c r="GR205" s="415"/>
      <c r="GS205" s="415"/>
      <c r="GT205" s="415"/>
      <c r="GU205" s="415"/>
      <c r="GV205" s="415"/>
      <c r="GW205" s="415"/>
      <c r="GX205" s="415"/>
      <c r="GY205" s="415"/>
      <c r="GZ205" s="415"/>
      <c r="HA205" s="415"/>
      <c r="HB205" s="415"/>
      <c r="HC205" s="415"/>
      <c r="HD205" s="415"/>
      <c r="HE205" s="415"/>
      <c r="HF205" s="415"/>
      <c r="HG205" s="415"/>
      <c r="HH205" s="415"/>
      <c r="HI205" s="415"/>
      <c r="HJ205" s="415"/>
      <c r="HK205" s="415"/>
      <c r="HL205" s="415"/>
      <c r="HM205" s="415"/>
      <c r="HN205" s="415"/>
      <c r="HO205" s="415"/>
      <c r="HP205" s="415"/>
      <c r="HQ205" s="415"/>
      <c r="HR205" s="415"/>
      <c r="HS205" s="415"/>
      <c r="HT205" s="415"/>
      <c r="HU205" s="415"/>
      <c r="HV205" s="415"/>
      <c r="HW205" s="415"/>
      <c r="HX205" s="415"/>
      <c r="HY205" s="415"/>
      <c r="HZ205" s="415"/>
      <c r="IA205" s="415"/>
      <c r="IB205" s="415"/>
      <c r="IC205" s="415"/>
      <c r="ID205" s="415"/>
      <c r="IE205" s="415"/>
      <c r="IF205" s="415"/>
      <c r="IG205" s="415"/>
      <c r="IH205" s="415"/>
      <c r="II205" s="415"/>
      <c r="IJ205" s="415"/>
      <c r="IK205" s="415"/>
      <c r="IL205" s="415"/>
      <c r="IM205" s="415"/>
      <c r="IN205" s="415"/>
      <c r="IO205" s="415"/>
      <c r="IP205" s="415"/>
      <c r="IQ205" s="415"/>
      <c r="IR205" s="415"/>
      <c r="IS205" s="415"/>
      <c r="IT205" s="415"/>
      <c r="IU205" s="415"/>
      <c r="IV205" s="415"/>
    </row>
    <row r="206" spans="1:29" ht="25.5">
      <c r="A206" s="166"/>
      <c r="B206" s="166"/>
      <c r="C206" s="415" t="s">
        <v>54</v>
      </c>
      <c r="D206" s="233"/>
      <c r="E206" s="233"/>
      <c r="F206" s="260"/>
      <c r="G206" s="249"/>
      <c r="H206" s="235"/>
      <c r="I206" s="235"/>
      <c r="J206" s="235"/>
      <c r="K206" s="235">
        <v>0</v>
      </c>
      <c r="L206" s="236"/>
      <c r="M206" s="237"/>
      <c r="N206" s="237">
        <v>0</v>
      </c>
      <c r="O206" s="251">
        <f aca="true" t="shared" si="56" ref="O206:AA209">L200*$G13*(1-$F$17*3)*$F$26+N206</f>
        <v>0</v>
      </c>
      <c r="P206" s="251">
        <f t="shared" si="56"/>
        <v>0</v>
      </c>
      <c r="Q206" s="251">
        <f t="shared" si="56"/>
        <v>0</v>
      </c>
      <c r="R206" s="251">
        <f t="shared" si="56"/>
        <v>0</v>
      </c>
      <c r="S206" s="251">
        <f t="shared" si="56"/>
        <v>0</v>
      </c>
      <c r="T206" s="251">
        <f t="shared" si="56"/>
        <v>0</v>
      </c>
      <c r="U206" s="251">
        <f t="shared" si="56"/>
        <v>0</v>
      </c>
      <c r="V206" s="251">
        <f t="shared" si="56"/>
        <v>0</v>
      </c>
      <c r="W206" s="251">
        <f t="shared" si="56"/>
        <v>0</v>
      </c>
      <c r="X206" s="251">
        <f t="shared" si="56"/>
        <v>0</v>
      </c>
      <c r="Y206" s="251">
        <f t="shared" si="56"/>
        <v>0</v>
      </c>
      <c r="Z206" s="251">
        <f t="shared" si="56"/>
        <v>0</v>
      </c>
      <c r="AA206" s="251">
        <f t="shared" si="56"/>
        <v>0</v>
      </c>
      <c r="AB206" s="233"/>
      <c r="AC206" s="166"/>
    </row>
    <row r="207" spans="1:29" ht="25.5">
      <c r="A207" s="166"/>
      <c r="B207" s="166"/>
      <c r="C207" s="415" t="s">
        <v>55</v>
      </c>
      <c r="D207" s="233"/>
      <c r="E207" s="233"/>
      <c r="F207" s="260"/>
      <c r="G207" s="249"/>
      <c r="H207" s="235"/>
      <c r="I207" s="235"/>
      <c r="J207" s="235"/>
      <c r="K207" s="235">
        <v>0</v>
      </c>
      <c r="L207" s="236"/>
      <c r="M207" s="237"/>
      <c r="N207" s="237">
        <v>0</v>
      </c>
      <c r="O207" s="251">
        <f t="shared" si="56"/>
        <v>0</v>
      </c>
      <c r="P207" s="251">
        <f t="shared" si="56"/>
        <v>0</v>
      </c>
      <c r="Q207" s="251">
        <f t="shared" si="56"/>
        <v>0</v>
      </c>
      <c r="R207" s="251">
        <f t="shared" si="56"/>
        <v>0</v>
      </c>
      <c r="S207" s="251">
        <f t="shared" si="56"/>
        <v>0</v>
      </c>
      <c r="T207" s="251">
        <f t="shared" si="56"/>
        <v>0</v>
      </c>
      <c r="U207" s="251">
        <f t="shared" si="56"/>
        <v>0</v>
      </c>
      <c r="V207" s="251">
        <f t="shared" si="56"/>
        <v>0</v>
      </c>
      <c r="W207" s="251">
        <f t="shared" si="56"/>
        <v>0</v>
      </c>
      <c r="X207" s="251">
        <f t="shared" si="56"/>
        <v>0</v>
      </c>
      <c r="Y207" s="251">
        <f t="shared" si="56"/>
        <v>0</v>
      </c>
      <c r="Z207" s="251">
        <f t="shared" si="56"/>
        <v>0</v>
      </c>
      <c r="AA207" s="251">
        <f t="shared" si="56"/>
        <v>0</v>
      </c>
      <c r="AB207" s="233"/>
      <c r="AC207" s="166"/>
    </row>
    <row r="208" spans="1:29" ht="25.5">
      <c r="A208" s="166"/>
      <c r="B208" s="166"/>
      <c r="C208" s="415" t="s">
        <v>56</v>
      </c>
      <c r="D208" s="233"/>
      <c r="E208" s="233"/>
      <c r="F208" s="260"/>
      <c r="G208" s="249"/>
      <c r="H208" s="235"/>
      <c r="I208" s="235"/>
      <c r="J208" s="235"/>
      <c r="K208" s="235">
        <v>0</v>
      </c>
      <c r="L208" s="236"/>
      <c r="M208" s="237"/>
      <c r="N208" s="237">
        <v>0</v>
      </c>
      <c r="O208" s="251">
        <f t="shared" si="56"/>
        <v>0</v>
      </c>
      <c r="P208" s="251">
        <f t="shared" si="56"/>
        <v>0</v>
      </c>
      <c r="Q208" s="251">
        <f t="shared" si="56"/>
        <v>0</v>
      </c>
      <c r="R208" s="251">
        <f t="shared" si="56"/>
        <v>0</v>
      </c>
      <c r="S208" s="251">
        <f t="shared" si="56"/>
        <v>0</v>
      </c>
      <c r="T208" s="251">
        <f t="shared" si="56"/>
        <v>0</v>
      </c>
      <c r="U208" s="251">
        <f t="shared" si="56"/>
        <v>0</v>
      </c>
      <c r="V208" s="251">
        <f t="shared" si="56"/>
        <v>0</v>
      </c>
      <c r="W208" s="251">
        <f t="shared" si="56"/>
        <v>0</v>
      </c>
      <c r="X208" s="251">
        <f t="shared" si="56"/>
        <v>0</v>
      </c>
      <c r="Y208" s="251">
        <f t="shared" si="56"/>
        <v>0</v>
      </c>
      <c r="Z208" s="251">
        <f t="shared" si="56"/>
        <v>0</v>
      </c>
      <c r="AA208" s="251">
        <f t="shared" si="56"/>
        <v>0</v>
      </c>
      <c r="AB208" s="233"/>
      <c r="AC208" s="166"/>
    </row>
    <row r="209" spans="1:29" ht="25.5">
      <c r="A209" s="166"/>
      <c r="B209" s="166"/>
      <c r="C209" s="415" t="s">
        <v>672</v>
      </c>
      <c r="D209" s="233"/>
      <c r="E209" s="233"/>
      <c r="F209" s="260"/>
      <c r="G209" s="249"/>
      <c r="H209" s="235"/>
      <c r="I209" s="235"/>
      <c r="J209" s="235"/>
      <c r="K209" s="235">
        <v>0</v>
      </c>
      <c r="L209" s="236"/>
      <c r="M209" s="237"/>
      <c r="N209" s="237">
        <v>0</v>
      </c>
      <c r="O209" s="251">
        <f t="shared" si="56"/>
        <v>0</v>
      </c>
      <c r="P209" s="251">
        <f t="shared" si="56"/>
        <v>0</v>
      </c>
      <c r="Q209" s="251">
        <f t="shared" si="56"/>
        <v>0</v>
      </c>
      <c r="R209" s="251">
        <f t="shared" si="56"/>
        <v>0</v>
      </c>
      <c r="S209" s="251">
        <f t="shared" si="56"/>
        <v>0</v>
      </c>
      <c r="T209" s="251">
        <f t="shared" si="56"/>
        <v>0</v>
      </c>
      <c r="U209" s="251">
        <f t="shared" si="56"/>
        <v>0</v>
      </c>
      <c r="V209" s="251">
        <f t="shared" si="56"/>
        <v>0</v>
      </c>
      <c r="W209" s="251">
        <f t="shared" si="56"/>
        <v>0</v>
      </c>
      <c r="X209" s="251">
        <f t="shared" si="56"/>
        <v>0</v>
      </c>
      <c r="Y209" s="251">
        <f t="shared" si="56"/>
        <v>0</v>
      </c>
      <c r="Z209" s="251">
        <f t="shared" si="56"/>
        <v>0</v>
      </c>
      <c r="AA209" s="251">
        <f t="shared" si="56"/>
        <v>0</v>
      </c>
      <c r="AB209" s="233"/>
      <c r="AC209" s="166"/>
    </row>
    <row r="210" spans="1:33" ht="15">
      <c r="A210" s="166"/>
      <c r="B210" s="166"/>
      <c r="C210" s="415"/>
      <c r="D210" s="233"/>
      <c r="E210" s="233"/>
      <c r="F210" s="260"/>
      <c r="G210" s="216"/>
      <c r="H210" s="216"/>
      <c r="I210" s="216"/>
      <c r="J210" s="216"/>
      <c r="K210" s="216"/>
      <c r="L210" s="216"/>
      <c r="M210" s="216"/>
      <c r="N210" s="423"/>
      <c r="O210" s="423"/>
      <c r="P210" s="423"/>
      <c r="Q210" s="423"/>
      <c r="R210" s="423"/>
      <c r="S210" s="423"/>
      <c r="T210" s="423"/>
      <c r="U210" s="423"/>
      <c r="V210" s="423"/>
      <c r="W210" s="423"/>
      <c r="X210" s="423"/>
      <c r="Y210" s="423"/>
      <c r="Z210" s="423"/>
      <c r="AA210" s="423"/>
      <c r="AB210" s="423"/>
      <c r="AC210" s="423"/>
      <c r="AD210" s="423"/>
      <c r="AE210" s="423"/>
      <c r="AF210" s="423"/>
      <c r="AG210" s="423"/>
    </row>
    <row r="211" spans="1:32" ht="15">
      <c r="A211" s="166"/>
      <c r="B211" s="166"/>
      <c r="C211" s="498" t="s">
        <v>686</v>
      </c>
      <c r="D211" s="233"/>
      <c r="E211" s="233"/>
      <c r="F211" s="260"/>
      <c r="G211" s="502"/>
      <c r="H211" s="540" t="s">
        <v>273</v>
      </c>
      <c r="I211" s="540"/>
      <c r="J211" s="540"/>
      <c r="K211" s="540"/>
      <c r="L211" s="540" t="s">
        <v>272</v>
      </c>
      <c r="M211" s="540"/>
      <c r="N211" s="540"/>
      <c r="O211" s="260"/>
      <c r="P211" s="260"/>
      <c r="Q211" s="260"/>
      <c r="R211" s="260"/>
      <c r="S211" s="260"/>
      <c r="T211" s="260"/>
      <c r="U211" s="260"/>
      <c r="V211" s="260"/>
      <c r="W211" s="260"/>
      <c r="X211" s="260"/>
      <c r="Y211" s="260"/>
      <c r="Z211" s="260"/>
      <c r="AA211" s="260"/>
      <c r="AB211" s="260"/>
      <c r="AC211" s="260"/>
      <c r="AD211" s="260"/>
      <c r="AE211" s="260"/>
      <c r="AF211" s="260"/>
    </row>
    <row r="212" spans="1:29" ht="25.5">
      <c r="A212" s="166"/>
      <c r="B212" s="166"/>
      <c r="C212" s="415" t="s">
        <v>54</v>
      </c>
      <c r="D212" s="233"/>
      <c r="E212" s="233"/>
      <c r="F212" s="260"/>
      <c r="G212" s="249"/>
      <c r="H212" s="235"/>
      <c r="I212" s="235"/>
      <c r="J212" s="235"/>
      <c r="K212" s="235">
        <v>0</v>
      </c>
      <c r="L212" s="236"/>
      <c r="M212" s="237"/>
      <c r="N212" s="237">
        <v>0</v>
      </c>
      <c r="O212" s="251">
        <f>L200*O13*(1-$F$17*3)*$F$26+N212</f>
        <v>0</v>
      </c>
      <c r="P212" s="251">
        <f aca="true" t="shared" si="57" ref="P212:AA212">M200*P13*(1-$F$17*3)*$F$26+O212</f>
        <v>0</v>
      </c>
      <c r="Q212" s="251">
        <f t="shared" si="57"/>
        <v>0</v>
      </c>
      <c r="R212" s="251">
        <f t="shared" si="57"/>
        <v>0</v>
      </c>
      <c r="S212" s="251">
        <f t="shared" si="57"/>
        <v>0</v>
      </c>
      <c r="T212" s="251">
        <f t="shared" si="57"/>
        <v>0</v>
      </c>
      <c r="U212" s="251">
        <f t="shared" si="57"/>
        <v>0</v>
      </c>
      <c r="V212" s="251">
        <f t="shared" si="57"/>
        <v>0</v>
      </c>
      <c r="W212" s="251">
        <f t="shared" si="57"/>
        <v>0</v>
      </c>
      <c r="X212" s="251">
        <f t="shared" si="57"/>
        <v>0</v>
      </c>
      <c r="Y212" s="251">
        <f t="shared" si="57"/>
        <v>0</v>
      </c>
      <c r="Z212" s="251">
        <f t="shared" si="57"/>
        <v>0</v>
      </c>
      <c r="AA212" s="251">
        <f t="shared" si="57"/>
        <v>0</v>
      </c>
      <c r="AB212" s="233"/>
      <c r="AC212" s="166"/>
    </row>
    <row r="213" spans="1:29" ht="25.5">
      <c r="A213" s="166"/>
      <c r="B213" s="166"/>
      <c r="C213" s="415" t="s">
        <v>55</v>
      </c>
      <c r="D213" s="233"/>
      <c r="E213" s="233"/>
      <c r="F213" s="260"/>
      <c r="G213" s="249"/>
      <c r="H213" s="235"/>
      <c r="I213" s="235"/>
      <c r="J213" s="235"/>
      <c r="K213" s="235">
        <v>0</v>
      </c>
      <c r="L213" s="236"/>
      <c r="M213" s="237"/>
      <c r="N213" s="237">
        <v>0</v>
      </c>
      <c r="O213" s="251">
        <f>L201*O14*(1-$F$17*3)*$F$26+N213</f>
        <v>0</v>
      </c>
      <c r="P213" s="251">
        <f aca="true" t="shared" si="58" ref="P213:AA215">M201*P14*(1-$F$17*3)*$F$26+O213</f>
        <v>0</v>
      </c>
      <c r="Q213" s="251">
        <f t="shared" si="58"/>
        <v>0</v>
      </c>
      <c r="R213" s="251">
        <f t="shared" si="58"/>
        <v>0</v>
      </c>
      <c r="S213" s="251">
        <f t="shared" si="58"/>
        <v>0</v>
      </c>
      <c r="T213" s="251">
        <f t="shared" si="58"/>
        <v>0</v>
      </c>
      <c r="U213" s="251">
        <f t="shared" si="58"/>
        <v>0</v>
      </c>
      <c r="V213" s="251">
        <f t="shared" si="58"/>
        <v>0</v>
      </c>
      <c r="W213" s="251">
        <f t="shared" si="58"/>
        <v>0</v>
      </c>
      <c r="X213" s="251">
        <f t="shared" si="58"/>
        <v>0</v>
      </c>
      <c r="Y213" s="251">
        <f t="shared" si="58"/>
        <v>0</v>
      </c>
      <c r="Z213" s="251">
        <f t="shared" si="58"/>
        <v>0</v>
      </c>
      <c r="AA213" s="251">
        <f t="shared" si="58"/>
        <v>0</v>
      </c>
      <c r="AB213" s="233"/>
      <c r="AC213" s="166"/>
    </row>
    <row r="214" spans="1:29" ht="25.5">
      <c r="A214" s="166"/>
      <c r="B214" s="166"/>
      <c r="C214" s="415" t="s">
        <v>56</v>
      </c>
      <c r="D214" s="233"/>
      <c r="E214" s="233"/>
      <c r="F214" s="260"/>
      <c r="G214" s="249"/>
      <c r="H214" s="235"/>
      <c r="I214" s="235"/>
      <c r="J214" s="235"/>
      <c r="K214" s="235">
        <v>0</v>
      </c>
      <c r="L214" s="236"/>
      <c r="M214" s="237"/>
      <c r="N214" s="237">
        <v>0</v>
      </c>
      <c r="O214" s="251">
        <f>L202*O15*(1-$F$17*3)*$F$26+N214</f>
        <v>0</v>
      </c>
      <c r="P214" s="251">
        <f t="shared" si="58"/>
        <v>0</v>
      </c>
      <c r="Q214" s="251">
        <f t="shared" si="58"/>
        <v>0</v>
      </c>
      <c r="R214" s="251">
        <f t="shared" si="58"/>
        <v>0</v>
      </c>
      <c r="S214" s="251">
        <f t="shared" si="58"/>
        <v>0</v>
      </c>
      <c r="T214" s="251">
        <f t="shared" si="58"/>
        <v>0</v>
      </c>
      <c r="U214" s="251">
        <f t="shared" si="58"/>
        <v>0</v>
      </c>
      <c r="V214" s="251">
        <f t="shared" si="58"/>
        <v>0</v>
      </c>
      <c r="W214" s="251">
        <f t="shared" si="58"/>
        <v>0</v>
      </c>
      <c r="X214" s="251">
        <f t="shared" si="58"/>
        <v>0</v>
      </c>
      <c r="Y214" s="251">
        <f t="shared" si="58"/>
        <v>0</v>
      </c>
      <c r="Z214" s="251">
        <f t="shared" si="58"/>
        <v>0</v>
      </c>
      <c r="AA214" s="251">
        <f t="shared" si="58"/>
        <v>0</v>
      </c>
      <c r="AB214" s="233"/>
      <c r="AC214" s="166"/>
    </row>
    <row r="215" spans="1:29" ht="25.5">
      <c r="A215" s="166"/>
      <c r="B215" s="166"/>
      <c r="C215" s="415" t="s">
        <v>672</v>
      </c>
      <c r="D215" s="233"/>
      <c r="E215" s="233"/>
      <c r="F215" s="260"/>
      <c r="G215" s="249"/>
      <c r="H215" s="235"/>
      <c r="I215" s="235"/>
      <c r="J215" s="235"/>
      <c r="K215" s="235">
        <v>0</v>
      </c>
      <c r="L215" s="236"/>
      <c r="M215" s="237"/>
      <c r="N215" s="237">
        <v>0</v>
      </c>
      <c r="O215" s="251">
        <f>L203*O16*(1-$F$17*3)*$F$26+N215</f>
        <v>0</v>
      </c>
      <c r="P215" s="251">
        <f t="shared" si="58"/>
        <v>0</v>
      </c>
      <c r="Q215" s="251">
        <f t="shared" si="58"/>
        <v>0</v>
      </c>
      <c r="R215" s="251">
        <f t="shared" si="58"/>
        <v>0</v>
      </c>
      <c r="S215" s="251">
        <f t="shared" si="58"/>
        <v>0</v>
      </c>
      <c r="T215" s="251">
        <f t="shared" si="58"/>
        <v>0</v>
      </c>
      <c r="U215" s="251">
        <f t="shared" si="58"/>
        <v>0</v>
      </c>
      <c r="V215" s="251">
        <f t="shared" si="58"/>
        <v>0</v>
      </c>
      <c r="W215" s="251">
        <f t="shared" si="58"/>
        <v>0</v>
      </c>
      <c r="X215" s="251">
        <f t="shared" si="58"/>
        <v>0</v>
      </c>
      <c r="Y215" s="251">
        <f t="shared" si="58"/>
        <v>0</v>
      </c>
      <c r="Z215" s="251">
        <f t="shared" si="58"/>
        <v>0</v>
      </c>
      <c r="AA215" s="251">
        <f t="shared" si="58"/>
        <v>0</v>
      </c>
      <c r="AB215" s="233"/>
      <c r="AC215" s="166"/>
    </row>
    <row r="216" spans="1:30" ht="15">
      <c r="A216" s="166"/>
      <c r="B216" s="166"/>
      <c r="C216" s="415"/>
      <c r="D216" s="233"/>
      <c r="E216" s="233"/>
      <c r="F216" s="260"/>
      <c r="G216" s="216"/>
      <c r="H216" s="216"/>
      <c r="I216" s="216"/>
      <c r="J216" s="216"/>
      <c r="K216" s="216"/>
      <c r="L216" s="216"/>
      <c r="M216" s="216"/>
      <c r="N216" s="423"/>
      <c r="O216" s="260"/>
      <c r="P216" s="260"/>
      <c r="Q216" s="260"/>
      <c r="R216" s="260"/>
      <c r="S216" s="260"/>
      <c r="T216" s="260"/>
      <c r="U216" s="260"/>
      <c r="V216" s="260"/>
      <c r="W216" s="260"/>
      <c r="X216" s="260"/>
      <c r="Y216" s="260"/>
      <c r="Z216" s="260"/>
      <c r="AA216" s="260"/>
      <c r="AB216" s="260"/>
      <c r="AC216" s="260"/>
      <c r="AD216" s="260"/>
    </row>
    <row r="217" spans="1:32" ht="15">
      <c r="A217" s="166"/>
      <c r="B217" s="166"/>
      <c r="C217" s="498" t="s">
        <v>688</v>
      </c>
      <c r="D217" s="233"/>
      <c r="E217" s="233"/>
      <c r="F217" s="260"/>
      <c r="G217" s="502"/>
      <c r="H217" s="540" t="s">
        <v>273</v>
      </c>
      <c r="I217" s="540"/>
      <c r="J217" s="540"/>
      <c r="K217" s="540"/>
      <c r="L217" s="540" t="s">
        <v>272</v>
      </c>
      <c r="M217" s="540"/>
      <c r="N217" s="540"/>
      <c r="O217" s="260"/>
      <c r="P217" s="260"/>
      <c r="Q217" s="260"/>
      <c r="R217" s="260"/>
      <c r="S217" s="260"/>
      <c r="T217" s="260"/>
      <c r="U217" s="260"/>
      <c r="V217" s="260"/>
      <c r="W217" s="260"/>
      <c r="X217" s="260"/>
      <c r="Y217" s="260"/>
      <c r="Z217" s="260"/>
      <c r="AA217" s="260"/>
      <c r="AB217" s="260"/>
      <c r="AC217" s="260"/>
      <c r="AD217" s="260"/>
      <c r="AE217" s="260"/>
      <c r="AF217" s="260"/>
    </row>
    <row r="218" spans="1:29" ht="25.5">
      <c r="A218" s="166"/>
      <c r="B218" s="166"/>
      <c r="C218" s="415" t="s">
        <v>54</v>
      </c>
      <c r="D218" s="233"/>
      <c r="E218" s="233"/>
      <c r="F218" s="260"/>
      <c r="G218" s="249"/>
      <c r="H218" s="235"/>
      <c r="I218" s="235"/>
      <c r="J218" s="235"/>
      <c r="K218" s="235">
        <v>0</v>
      </c>
      <c r="L218" s="236"/>
      <c r="M218" s="237"/>
      <c r="N218" s="237">
        <v>0</v>
      </c>
      <c r="O218" s="251">
        <f aca="true" t="shared" si="59" ref="O218:Z218">ROUND(O212-O206,0)</f>
        <v>0</v>
      </c>
      <c r="P218" s="251">
        <f t="shared" si="59"/>
        <v>0</v>
      </c>
      <c r="Q218" s="251">
        <f t="shared" si="59"/>
        <v>0</v>
      </c>
      <c r="R218" s="251">
        <f t="shared" si="59"/>
        <v>0</v>
      </c>
      <c r="S218" s="251">
        <f t="shared" si="59"/>
        <v>0</v>
      </c>
      <c r="T218" s="251">
        <f t="shared" si="59"/>
        <v>0</v>
      </c>
      <c r="U218" s="251">
        <f t="shared" si="59"/>
        <v>0</v>
      </c>
      <c r="V218" s="251">
        <f t="shared" si="59"/>
        <v>0</v>
      </c>
      <c r="W218" s="251">
        <f t="shared" si="59"/>
        <v>0</v>
      </c>
      <c r="X218" s="251">
        <f t="shared" si="59"/>
        <v>0</v>
      </c>
      <c r="Y218" s="251">
        <f t="shared" si="59"/>
        <v>0</v>
      </c>
      <c r="Z218" s="251">
        <f t="shared" si="59"/>
        <v>0</v>
      </c>
      <c r="AA218" s="251">
        <f>ROUND(AA212-AA206,0)</f>
        <v>0</v>
      </c>
      <c r="AB218" s="233"/>
      <c r="AC218" s="166"/>
    </row>
    <row r="219" spans="1:29" ht="25.5">
      <c r="A219" s="166"/>
      <c r="B219" s="166"/>
      <c r="C219" s="415" t="s">
        <v>55</v>
      </c>
      <c r="D219" s="233"/>
      <c r="E219" s="233"/>
      <c r="F219" s="260"/>
      <c r="G219" s="249"/>
      <c r="H219" s="235"/>
      <c r="I219" s="235"/>
      <c r="J219" s="235"/>
      <c r="K219" s="235">
        <v>0</v>
      </c>
      <c r="L219" s="236"/>
      <c r="M219" s="237"/>
      <c r="N219" s="237">
        <v>0</v>
      </c>
      <c r="O219" s="251">
        <f aca="true" t="shared" si="60" ref="O219:Z219">ROUND(O213-O207,0)</f>
        <v>0</v>
      </c>
      <c r="P219" s="251">
        <f t="shared" si="60"/>
        <v>0</v>
      </c>
      <c r="Q219" s="251">
        <f t="shared" si="60"/>
        <v>0</v>
      </c>
      <c r="R219" s="251">
        <f t="shared" si="60"/>
        <v>0</v>
      </c>
      <c r="S219" s="251">
        <f t="shared" si="60"/>
        <v>0</v>
      </c>
      <c r="T219" s="251">
        <f t="shared" si="60"/>
        <v>0</v>
      </c>
      <c r="U219" s="251">
        <f t="shared" si="60"/>
        <v>0</v>
      </c>
      <c r="V219" s="251">
        <f t="shared" si="60"/>
        <v>0</v>
      </c>
      <c r="W219" s="251">
        <f t="shared" si="60"/>
        <v>0</v>
      </c>
      <c r="X219" s="251">
        <f t="shared" si="60"/>
        <v>0</v>
      </c>
      <c r="Y219" s="251">
        <f t="shared" si="60"/>
        <v>0</v>
      </c>
      <c r="Z219" s="251">
        <f t="shared" si="60"/>
        <v>0</v>
      </c>
      <c r="AA219" s="251">
        <f>ROUND(AA213-AA207,0)</f>
        <v>0</v>
      </c>
      <c r="AB219" s="233"/>
      <c r="AC219" s="166"/>
    </row>
    <row r="220" spans="1:29" ht="25.5">
      <c r="A220" s="166"/>
      <c r="B220" s="166"/>
      <c r="C220" s="415" t="s">
        <v>56</v>
      </c>
      <c r="D220" s="233"/>
      <c r="E220" s="233"/>
      <c r="F220" s="260"/>
      <c r="G220" s="249"/>
      <c r="H220" s="235"/>
      <c r="I220" s="235"/>
      <c r="J220" s="235"/>
      <c r="K220" s="235">
        <v>0</v>
      </c>
      <c r="L220" s="236"/>
      <c r="M220" s="237"/>
      <c r="N220" s="237">
        <v>0</v>
      </c>
      <c r="O220" s="251">
        <f aca="true" t="shared" si="61" ref="O220:Z220">ROUND(O214-O208,0)</f>
        <v>0</v>
      </c>
      <c r="P220" s="251">
        <f t="shared" si="61"/>
        <v>0</v>
      </c>
      <c r="Q220" s="251">
        <f t="shared" si="61"/>
        <v>0</v>
      </c>
      <c r="R220" s="251">
        <f t="shared" si="61"/>
        <v>0</v>
      </c>
      <c r="S220" s="251">
        <f t="shared" si="61"/>
        <v>0</v>
      </c>
      <c r="T220" s="251">
        <f t="shared" si="61"/>
        <v>0</v>
      </c>
      <c r="U220" s="251">
        <f t="shared" si="61"/>
        <v>0</v>
      </c>
      <c r="V220" s="251">
        <f t="shared" si="61"/>
        <v>0</v>
      </c>
      <c r="W220" s="251">
        <f t="shared" si="61"/>
        <v>0</v>
      </c>
      <c r="X220" s="251">
        <f t="shared" si="61"/>
        <v>0</v>
      </c>
      <c r="Y220" s="251">
        <f t="shared" si="61"/>
        <v>0</v>
      </c>
      <c r="Z220" s="251">
        <f t="shared" si="61"/>
        <v>0</v>
      </c>
      <c r="AA220" s="251">
        <f>ROUND(AA214-AA208,0)</f>
        <v>0</v>
      </c>
      <c r="AB220" s="233"/>
      <c r="AC220" s="166"/>
    </row>
    <row r="221" spans="1:29" ht="25.5">
      <c r="A221" s="166"/>
      <c r="B221" s="166"/>
      <c r="C221" s="415" t="s">
        <v>672</v>
      </c>
      <c r="D221" s="233"/>
      <c r="E221" s="233"/>
      <c r="F221" s="260"/>
      <c r="G221" s="249"/>
      <c r="H221" s="235"/>
      <c r="I221" s="235"/>
      <c r="J221" s="235"/>
      <c r="K221" s="235">
        <v>0</v>
      </c>
      <c r="L221" s="236"/>
      <c r="M221" s="237"/>
      <c r="N221" s="237">
        <v>0</v>
      </c>
      <c r="O221" s="251">
        <f aca="true" t="shared" si="62" ref="O221:Z221">ROUND(O215-O209,0)</f>
        <v>0</v>
      </c>
      <c r="P221" s="251">
        <f t="shared" si="62"/>
        <v>0</v>
      </c>
      <c r="Q221" s="251">
        <f t="shared" si="62"/>
        <v>0</v>
      </c>
      <c r="R221" s="251">
        <f t="shared" si="62"/>
        <v>0</v>
      </c>
      <c r="S221" s="251">
        <f t="shared" si="62"/>
        <v>0</v>
      </c>
      <c r="T221" s="251">
        <f t="shared" si="62"/>
        <v>0</v>
      </c>
      <c r="U221" s="251">
        <f t="shared" si="62"/>
        <v>0</v>
      </c>
      <c r="V221" s="251">
        <f t="shared" si="62"/>
        <v>0</v>
      </c>
      <c r="W221" s="251">
        <f t="shared" si="62"/>
        <v>0</v>
      </c>
      <c r="X221" s="251">
        <f t="shared" si="62"/>
        <v>0</v>
      </c>
      <c r="Y221" s="251">
        <f t="shared" si="62"/>
        <v>0</v>
      </c>
      <c r="Z221" s="251">
        <f t="shared" si="62"/>
        <v>0</v>
      </c>
      <c r="AA221" s="251">
        <f>ROUND(AA215-AA209,0)</f>
        <v>0</v>
      </c>
      <c r="AB221" s="233"/>
      <c r="AC221" s="166"/>
    </row>
    <row r="222" spans="1:29" ht="15">
      <c r="A222" s="166"/>
      <c r="B222" s="166"/>
      <c r="C222" s="415"/>
      <c r="D222" s="415"/>
      <c r="E222" s="415"/>
      <c r="F222" s="415"/>
      <c r="G222" s="216"/>
      <c r="H222" s="216"/>
      <c r="I222" s="216"/>
      <c r="J222" s="216"/>
      <c r="K222" s="216"/>
      <c r="L222" s="216"/>
      <c r="M222" s="216"/>
      <c r="N222" s="423"/>
      <c r="O222" s="415"/>
      <c r="P222" s="415"/>
      <c r="Q222" s="415"/>
      <c r="R222" s="415"/>
      <c r="S222" s="415"/>
      <c r="T222" s="415"/>
      <c r="U222" s="415"/>
      <c r="V222" s="415"/>
      <c r="W222" s="415"/>
      <c r="X222" s="415"/>
      <c r="Y222" s="415"/>
      <c r="Z222" s="415"/>
      <c r="AA222" s="415"/>
      <c r="AB222" s="415"/>
      <c r="AC222" s="166"/>
    </row>
    <row r="223" spans="1:32" ht="15">
      <c r="A223" s="166"/>
      <c r="B223" s="166"/>
      <c r="C223" s="498" t="s">
        <v>687</v>
      </c>
      <c r="D223" s="233"/>
      <c r="E223" s="233"/>
      <c r="F223" s="260"/>
      <c r="G223" s="502"/>
      <c r="H223" s="540" t="s">
        <v>273</v>
      </c>
      <c r="I223" s="540"/>
      <c r="J223" s="540"/>
      <c r="K223" s="540"/>
      <c r="L223" s="540" t="s">
        <v>272</v>
      </c>
      <c r="M223" s="540"/>
      <c r="N223" s="540"/>
      <c r="O223" s="260"/>
      <c r="P223" s="260"/>
      <c r="Q223" s="260"/>
      <c r="R223" s="260"/>
      <c r="S223" s="260"/>
      <c r="T223" s="260"/>
      <c r="U223" s="260"/>
      <c r="V223" s="260"/>
      <c r="W223" s="260"/>
      <c r="X223" s="260"/>
      <c r="Y223" s="260"/>
      <c r="Z223" s="260"/>
      <c r="AA223" s="260"/>
      <c r="AB223" s="260"/>
      <c r="AC223" s="260"/>
      <c r="AD223" s="260"/>
      <c r="AE223" s="260"/>
      <c r="AF223" s="260"/>
    </row>
    <row r="224" spans="1:29" ht="25.5">
      <c r="A224" s="166"/>
      <c r="B224" s="166"/>
      <c r="C224" s="415" t="s">
        <v>54</v>
      </c>
      <c r="D224" s="233"/>
      <c r="E224" s="233"/>
      <c r="F224" s="260"/>
      <c r="G224" s="249"/>
      <c r="H224" s="235"/>
      <c r="I224" s="235"/>
      <c r="J224" s="235"/>
      <c r="K224" s="235">
        <v>0</v>
      </c>
      <c r="L224" s="236"/>
      <c r="M224" s="237"/>
      <c r="N224" s="237">
        <v>0</v>
      </c>
      <c r="O224" s="250">
        <f aca="true" t="shared" si="63" ref="O224:Z224">O218*$G123*($F117-$G117)*$F$26</f>
        <v>0</v>
      </c>
      <c r="P224" s="250">
        <f t="shared" si="63"/>
        <v>0</v>
      </c>
      <c r="Q224" s="250">
        <f t="shared" si="63"/>
        <v>0</v>
      </c>
      <c r="R224" s="250">
        <f t="shared" si="63"/>
        <v>0</v>
      </c>
      <c r="S224" s="250">
        <f t="shared" si="63"/>
        <v>0</v>
      </c>
      <c r="T224" s="250">
        <f t="shared" si="63"/>
        <v>0</v>
      </c>
      <c r="U224" s="250">
        <f t="shared" si="63"/>
        <v>0</v>
      </c>
      <c r="V224" s="250">
        <f t="shared" si="63"/>
        <v>0</v>
      </c>
      <c r="W224" s="250">
        <f t="shared" si="63"/>
        <v>0</v>
      </c>
      <c r="X224" s="250">
        <f t="shared" si="63"/>
        <v>0</v>
      </c>
      <c r="Y224" s="250">
        <f t="shared" si="63"/>
        <v>0</v>
      </c>
      <c r="Z224" s="250">
        <f t="shared" si="63"/>
        <v>0</v>
      </c>
      <c r="AA224" s="250">
        <f>AA218*$G123*($F117-$G117)*$F$26</f>
        <v>0</v>
      </c>
      <c r="AB224" s="233"/>
      <c r="AC224" s="166"/>
    </row>
    <row r="225" spans="1:29" ht="25.5">
      <c r="A225" s="166"/>
      <c r="B225" s="166"/>
      <c r="C225" s="415" t="s">
        <v>55</v>
      </c>
      <c r="D225" s="233"/>
      <c r="E225" s="233"/>
      <c r="F225" s="260"/>
      <c r="G225" s="249"/>
      <c r="H225" s="235"/>
      <c r="I225" s="235"/>
      <c r="J225" s="235"/>
      <c r="K225" s="235">
        <v>0</v>
      </c>
      <c r="L225" s="236"/>
      <c r="M225" s="237"/>
      <c r="N225" s="237">
        <v>0</v>
      </c>
      <c r="O225" s="250">
        <f aca="true" t="shared" si="64" ref="O225:Z225">O219*$G124*($F118-$G118)*$F$26</f>
        <v>0</v>
      </c>
      <c r="P225" s="250">
        <f t="shared" si="64"/>
        <v>0</v>
      </c>
      <c r="Q225" s="250">
        <f t="shared" si="64"/>
        <v>0</v>
      </c>
      <c r="R225" s="250">
        <f t="shared" si="64"/>
        <v>0</v>
      </c>
      <c r="S225" s="250">
        <f t="shared" si="64"/>
        <v>0</v>
      </c>
      <c r="T225" s="250">
        <f t="shared" si="64"/>
        <v>0</v>
      </c>
      <c r="U225" s="250">
        <f t="shared" si="64"/>
        <v>0</v>
      </c>
      <c r="V225" s="250">
        <f t="shared" si="64"/>
        <v>0</v>
      </c>
      <c r="W225" s="250">
        <f t="shared" si="64"/>
        <v>0</v>
      </c>
      <c r="X225" s="250">
        <f t="shared" si="64"/>
        <v>0</v>
      </c>
      <c r="Y225" s="250">
        <f t="shared" si="64"/>
        <v>0</v>
      </c>
      <c r="Z225" s="250">
        <f t="shared" si="64"/>
        <v>0</v>
      </c>
      <c r="AA225" s="250">
        <f>AA219*$G124*($F118-$G118)*$F$26</f>
        <v>0</v>
      </c>
      <c r="AB225" s="233"/>
      <c r="AC225" s="166"/>
    </row>
    <row r="226" spans="1:29" ht="25.5">
      <c r="A226" s="166"/>
      <c r="B226" s="166"/>
      <c r="C226" s="415" t="s">
        <v>56</v>
      </c>
      <c r="D226" s="233"/>
      <c r="E226" s="233"/>
      <c r="F226" s="260"/>
      <c r="G226" s="249"/>
      <c r="H226" s="235"/>
      <c r="I226" s="235"/>
      <c r="J226" s="235"/>
      <c r="K226" s="235">
        <v>0</v>
      </c>
      <c r="L226" s="236"/>
      <c r="M226" s="237"/>
      <c r="N226" s="237">
        <v>0</v>
      </c>
      <c r="O226" s="250">
        <f aca="true" t="shared" si="65" ref="O226:Z226">O220*$G125*($F119-$G119)*$F$26</f>
        <v>0</v>
      </c>
      <c r="P226" s="250">
        <f t="shared" si="65"/>
        <v>0</v>
      </c>
      <c r="Q226" s="250">
        <f t="shared" si="65"/>
        <v>0</v>
      </c>
      <c r="R226" s="250">
        <f t="shared" si="65"/>
        <v>0</v>
      </c>
      <c r="S226" s="250">
        <f t="shared" si="65"/>
        <v>0</v>
      </c>
      <c r="T226" s="250">
        <f t="shared" si="65"/>
        <v>0</v>
      </c>
      <c r="U226" s="250">
        <f t="shared" si="65"/>
        <v>0</v>
      </c>
      <c r="V226" s="250">
        <f t="shared" si="65"/>
        <v>0</v>
      </c>
      <c r="W226" s="250">
        <f t="shared" si="65"/>
        <v>0</v>
      </c>
      <c r="X226" s="250">
        <f t="shared" si="65"/>
        <v>0</v>
      </c>
      <c r="Y226" s="250">
        <f t="shared" si="65"/>
        <v>0</v>
      </c>
      <c r="Z226" s="250">
        <f t="shared" si="65"/>
        <v>0</v>
      </c>
      <c r="AA226" s="250">
        <f>AA220*$G125*($F119-$G119)*$F$26</f>
        <v>0</v>
      </c>
      <c r="AB226" s="233"/>
      <c r="AC226" s="166"/>
    </row>
    <row r="227" spans="1:29" ht="25.5">
      <c r="A227" s="166"/>
      <c r="B227" s="166"/>
      <c r="C227" s="415" t="s">
        <v>672</v>
      </c>
      <c r="D227" s="233"/>
      <c r="E227" s="233"/>
      <c r="F227" s="260"/>
      <c r="G227" s="249"/>
      <c r="H227" s="235"/>
      <c r="I227" s="235"/>
      <c r="J227" s="235"/>
      <c r="K227" s="235">
        <v>0</v>
      </c>
      <c r="L227" s="236"/>
      <c r="M227" s="237"/>
      <c r="N227" s="237">
        <v>0</v>
      </c>
      <c r="O227" s="250">
        <f aca="true" t="shared" si="66" ref="O227:Z227">O221*$G126*($F120-$G120)*$F$26</f>
        <v>0</v>
      </c>
      <c r="P227" s="250">
        <f t="shared" si="66"/>
        <v>0</v>
      </c>
      <c r="Q227" s="250">
        <f t="shared" si="66"/>
        <v>0</v>
      </c>
      <c r="R227" s="250">
        <f t="shared" si="66"/>
        <v>0</v>
      </c>
      <c r="S227" s="250">
        <f t="shared" si="66"/>
        <v>0</v>
      </c>
      <c r="T227" s="250">
        <f t="shared" si="66"/>
        <v>0</v>
      </c>
      <c r="U227" s="250">
        <f t="shared" si="66"/>
        <v>0</v>
      </c>
      <c r="V227" s="250">
        <f t="shared" si="66"/>
        <v>0</v>
      </c>
      <c r="W227" s="250">
        <f t="shared" si="66"/>
        <v>0</v>
      </c>
      <c r="X227" s="250">
        <f t="shared" si="66"/>
        <v>0</v>
      </c>
      <c r="Y227" s="250">
        <f t="shared" si="66"/>
        <v>0</v>
      </c>
      <c r="Z227" s="250">
        <f t="shared" si="66"/>
        <v>0</v>
      </c>
      <c r="AA227" s="250">
        <f>AA221*$G126*($F120-$G120)*$F$26</f>
        <v>0</v>
      </c>
      <c r="AB227" s="233"/>
      <c r="AC227" s="166"/>
    </row>
    <row r="228" spans="1:29" ht="15">
      <c r="A228" s="166"/>
      <c r="B228" s="166"/>
      <c r="C228" s="415"/>
      <c r="D228" s="233"/>
      <c r="E228" s="233"/>
      <c r="F228" s="260"/>
      <c r="G228" s="216"/>
      <c r="H228" s="216"/>
      <c r="I228" s="216"/>
      <c r="J228" s="216"/>
      <c r="K228" s="216"/>
      <c r="L228" s="216"/>
      <c r="M228" s="216"/>
      <c r="N228" s="423"/>
      <c r="O228" s="250">
        <f aca="true" t="shared" si="67" ref="O228:Z228">SUM(O224:O227)</f>
        <v>0</v>
      </c>
      <c r="P228" s="250">
        <f t="shared" si="67"/>
        <v>0</v>
      </c>
      <c r="Q228" s="250">
        <f t="shared" si="67"/>
        <v>0</v>
      </c>
      <c r="R228" s="250">
        <f t="shared" si="67"/>
        <v>0</v>
      </c>
      <c r="S228" s="250">
        <f t="shared" si="67"/>
        <v>0</v>
      </c>
      <c r="T228" s="250">
        <f t="shared" si="67"/>
        <v>0</v>
      </c>
      <c r="U228" s="250">
        <f t="shared" si="67"/>
        <v>0</v>
      </c>
      <c r="V228" s="250">
        <f t="shared" si="67"/>
        <v>0</v>
      </c>
      <c r="W228" s="250">
        <f t="shared" si="67"/>
        <v>0</v>
      </c>
      <c r="X228" s="250">
        <f t="shared" si="67"/>
        <v>0</v>
      </c>
      <c r="Y228" s="250">
        <f t="shared" si="67"/>
        <v>0</v>
      </c>
      <c r="Z228" s="250">
        <f t="shared" si="67"/>
        <v>0</v>
      </c>
      <c r="AA228" s="250">
        <f>SUM(AA224:AA227)</f>
        <v>0</v>
      </c>
      <c r="AB228" s="260"/>
      <c r="AC228" s="166"/>
    </row>
    <row r="229" spans="1:29" ht="15">
      <c r="A229" s="166"/>
      <c r="B229" s="166"/>
      <c r="C229" s="415"/>
      <c r="D229" s="233"/>
      <c r="E229" s="233"/>
      <c r="F229" s="260"/>
      <c r="G229" s="260"/>
      <c r="H229" s="260"/>
      <c r="I229" s="260"/>
      <c r="J229" s="260"/>
      <c r="K229" s="260"/>
      <c r="L229" s="260"/>
      <c r="M229" s="260"/>
      <c r="N229" s="260"/>
      <c r="O229" s="260"/>
      <c r="P229" s="260"/>
      <c r="Q229" s="260"/>
      <c r="R229" s="260"/>
      <c r="S229" s="260"/>
      <c r="T229" s="248"/>
      <c r="U229" s="248"/>
      <c r="V229" s="248"/>
      <c r="W229" s="248"/>
      <c r="X229" s="248"/>
      <c r="Y229" s="248"/>
      <c r="Z229" s="248"/>
      <c r="AA229" s="248"/>
      <c r="AB229" s="233"/>
      <c r="AC229" s="166"/>
    </row>
    <row r="230" spans="3:27" s="166" customFormat="1" ht="12.75">
      <c r="C230" s="421" t="s">
        <v>157</v>
      </c>
      <c r="D230" s="427" t="s">
        <v>52</v>
      </c>
      <c r="E230" s="427"/>
      <c r="F230" s="427"/>
      <c r="G230" s="428">
        <f>SUM(G180,G196,G228)*1!G$4</f>
        <v>0</v>
      </c>
      <c r="H230" s="428">
        <f>SUM(H180,H196,H228)*1!H$4</f>
        <v>0</v>
      </c>
      <c r="I230" s="428">
        <f>SUM(I180,I196,I228)*1!I$4</f>
        <v>0</v>
      </c>
      <c r="J230" s="428">
        <f>SUM(J180,J196,J228)*1!J$4</f>
        <v>0</v>
      </c>
      <c r="K230" s="428">
        <f>SUM(K180,K196,K228)*1!K$4</f>
        <v>0</v>
      </c>
      <c r="L230" s="428">
        <f>SUM(L180,L196,L228)*1!L$4</f>
        <v>0</v>
      </c>
      <c r="M230" s="428">
        <f>SUM(M180,M196,M228)*1!M$4</f>
        <v>0</v>
      </c>
      <c r="N230" s="428">
        <f>SUM(N180,N196,N228)*1!N$4</f>
        <v>0</v>
      </c>
      <c r="O230" s="428">
        <f>SUM(O180,O196,O228)*1!O$4</f>
        <v>0</v>
      </c>
      <c r="P230" s="428">
        <f>SUM(P180,P196,P228)*1!P$4</f>
        <v>0</v>
      </c>
      <c r="Q230" s="428">
        <f>SUM(Q180,Q196,Q228)*1!Q$4</f>
        <v>0</v>
      </c>
      <c r="R230" s="428">
        <f>SUM(R180,R196,R228)*1!R$4</f>
        <v>0</v>
      </c>
      <c r="S230" s="428">
        <f>SUM(S180,S196,S228)*1!S$4</f>
        <v>0</v>
      </c>
      <c r="T230" s="428">
        <f>SUM(T180,T196,T228)*1!T$4</f>
        <v>0</v>
      </c>
      <c r="U230" s="428">
        <f>SUM(U180,U196,U228)*1!U$4</f>
        <v>0</v>
      </c>
      <c r="V230" s="428">
        <f>SUM(V180,V196,V228)*1!V$4</f>
        <v>0</v>
      </c>
      <c r="W230" s="428">
        <f>SUM(W180,W196,W228)*1!W$4</f>
        <v>0</v>
      </c>
      <c r="X230" s="428">
        <f>SUM(X180,X196,X228)*1!X$4</f>
        <v>0</v>
      </c>
      <c r="Y230" s="428">
        <f>SUM(Y180,Y196,Y228)*1!Y$4</f>
        <v>0</v>
      </c>
      <c r="Z230" s="428">
        <f>SUM(Z180,Z196,Z228)*1!Z$4</f>
        <v>0</v>
      </c>
      <c r="AA230" s="428">
        <f>SUM(AA180,AA196,AA228)*1!AA$4</f>
        <v>0</v>
      </c>
    </row>
  </sheetData>
  <sheetProtection/>
  <mergeCells count="36">
    <mergeCell ref="H205:K205"/>
    <mergeCell ref="L205:N205"/>
    <mergeCell ref="H211:K211"/>
    <mergeCell ref="L211:N211"/>
    <mergeCell ref="H199:K199"/>
    <mergeCell ref="H140:K140"/>
    <mergeCell ref="H149:K149"/>
    <mergeCell ref="L149:N149"/>
    <mergeCell ref="H191:K191"/>
    <mergeCell ref="L191:N191"/>
    <mergeCell ref="H132:K132"/>
    <mergeCell ref="H46:K46"/>
    <mergeCell ref="L53:N53"/>
    <mergeCell ref="H53:K53"/>
    <mergeCell ref="H60:K60"/>
    <mergeCell ref="H67:K67"/>
    <mergeCell ref="H217:K217"/>
    <mergeCell ref="L217:N217"/>
    <mergeCell ref="H223:K223"/>
    <mergeCell ref="L223:N223"/>
    <mergeCell ref="K12:Z12"/>
    <mergeCell ref="H157:K157"/>
    <mergeCell ref="L157:N157"/>
    <mergeCell ref="H168:K168"/>
    <mergeCell ref="H175:K175"/>
    <mergeCell ref="H184:K184"/>
    <mergeCell ref="L184:N184"/>
    <mergeCell ref="H90:K90"/>
    <mergeCell ref="H97:K97"/>
    <mergeCell ref="H105:K105"/>
    <mergeCell ref="H31:K31"/>
    <mergeCell ref="H38:K38"/>
    <mergeCell ref="H75:K75"/>
    <mergeCell ref="H82:K82"/>
    <mergeCell ref="L82:N82"/>
    <mergeCell ref="L105:N10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0F0F0"/>
  </sheetPr>
  <dimension ref="A1:AB18"/>
  <sheetViews>
    <sheetView showGridLines="0" zoomScale="55" zoomScaleNormal="55" zoomScalePageLayoutView="0" workbookViewId="0" topLeftCell="D1">
      <pane ySplit="3" topLeftCell="A4" activePane="bottomLeft" state="frozen"/>
      <selection pane="topLeft" activeCell="B93" sqref="B93"/>
      <selection pane="bottomLeft" activeCell="B93" sqref="B93"/>
    </sheetView>
  </sheetViews>
  <sheetFormatPr defaultColWidth="9.00390625" defaultRowHeight="15.75"/>
  <cols>
    <col min="1" max="1" width="2.375" style="152" customWidth="1"/>
    <col min="2" max="2" width="0.74609375" style="152" hidden="1" customWidth="1"/>
    <col min="3" max="3" width="51.875" style="152" customWidth="1"/>
    <col min="4" max="4" width="5.25390625" style="152" customWidth="1"/>
    <col min="5" max="5" width="7.50390625" style="152" hidden="1" customWidth="1"/>
    <col min="6" max="6" width="2.875" style="152" hidden="1" customWidth="1"/>
    <col min="7" max="11" width="9.25390625" style="152" customWidth="1"/>
    <col min="12" max="27" width="10.25390625" style="152" customWidth="1"/>
    <col min="28" max="16384" width="9.00390625" style="152"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vai profesionālās kultūrizglītības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248</v>
      </c>
      <c r="C4" s="219" t="s">
        <v>294</v>
      </c>
    </row>
    <row r="6" spans="3:7" ht="12.75">
      <c r="C6" s="152" t="s">
        <v>300</v>
      </c>
      <c r="D6" s="152" t="s">
        <v>13</v>
      </c>
      <c r="G6" s="307">
        <v>0.23</v>
      </c>
    </row>
    <row r="7" spans="3:5" ht="12.75">
      <c r="C7" s="152" t="s">
        <v>299</v>
      </c>
      <c r="D7" s="152" t="s">
        <v>13</v>
      </c>
      <c r="E7" s="307"/>
    </row>
    <row r="8" spans="3:11" ht="15">
      <c r="C8" s="152" t="s">
        <v>298</v>
      </c>
      <c r="D8" s="152" t="s">
        <v>13</v>
      </c>
      <c r="E8" s="307"/>
      <c r="G8" s="502"/>
      <c r="H8" s="540" t="s">
        <v>273</v>
      </c>
      <c r="I8" s="540"/>
      <c r="J8" s="540"/>
      <c r="K8" s="540"/>
    </row>
    <row r="9" spans="3:27" ht="12.75">
      <c r="C9" s="152" t="s">
        <v>281</v>
      </c>
      <c r="D9" s="152" t="s">
        <v>52</v>
      </c>
      <c r="E9" s="218"/>
      <c r="F9" s="218"/>
      <c r="G9" s="249"/>
      <c r="H9" s="235"/>
      <c r="I9" s="235"/>
      <c r="J9" s="235"/>
      <c r="K9" s="235">
        <v>0</v>
      </c>
      <c r="L9" s="218">
        <f>2!L230</f>
        <v>0</v>
      </c>
      <c r="M9" s="218">
        <f>2!M230</f>
        <v>0</v>
      </c>
      <c r="N9" s="218">
        <f>2!N230</f>
        <v>0</v>
      </c>
      <c r="O9" s="218">
        <f>2!O230</f>
        <v>0</v>
      </c>
      <c r="P9" s="218">
        <f>2!P230</f>
        <v>0</v>
      </c>
      <c r="Q9" s="218">
        <f>2!Q230</f>
        <v>0</v>
      </c>
      <c r="R9" s="218">
        <f>2!R230</f>
        <v>0</v>
      </c>
      <c r="S9" s="218">
        <f>2!S230</f>
        <v>0</v>
      </c>
      <c r="T9" s="218">
        <f>2!T230</f>
        <v>0</v>
      </c>
      <c r="U9" s="218">
        <f>2!U230</f>
        <v>0</v>
      </c>
      <c r="V9" s="218">
        <f>2!V230</f>
        <v>0</v>
      </c>
      <c r="W9" s="218">
        <f>2!W230</f>
        <v>0</v>
      </c>
      <c r="X9" s="218">
        <f>2!X230</f>
        <v>0</v>
      </c>
      <c r="Y9" s="218">
        <f>2!Y230</f>
        <v>0</v>
      </c>
      <c r="Z9" s="218">
        <f>2!Z230</f>
        <v>0</v>
      </c>
      <c r="AA9" s="218">
        <f>2!AA230</f>
        <v>0</v>
      </c>
    </row>
    <row r="10" spans="3:27" ht="12.75">
      <c r="C10" s="152" t="s">
        <v>301</v>
      </c>
      <c r="D10" s="152" t="s">
        <v>52</v>
      </c>
      <c r="E10" s="218"/>
      <c r="F10" s="218"/>
      <c r="G10" s="249"/>
      <c r="H10" s="235"/>
      <c r="I10" s="235"/>
      <c r="J10" s="235"/>
      <c r="K10" s="235">
        <v>0</v>
      </c>
      <c r="L10" s="218">
        <f aca="true" t="shared" si="0" ref="L10:Z10">$E$7*L9</f>
        <v>0</v>
      </c>
      <c r="M10" s="218">
        <f t="shared" si="0"/>
        <v>0</v>
      </c>
      <c r="N10" s="218">
        <f t="shared" si="0"/>
        <v>0</v>
      </c>
      <c r="O10" s="218">
        <f t="shared" si="0"/>
        <v>0</v>
      </c>
      <c r="P10" s="218">
        <f t="shared" si="0"/>
        <v>0</v>
      </c>
      <c r="Q10" s="218">
        <f t="shared" si="0"/>
        <v>0</v>
      </c>
      <c r="R10" s="218">
        <f t="shared" si="0"/>
        <v>0</v>
      </c>
      <c r="S10" s="218">
        <f t="shared" si="0"/>
        <v>0</v>
      </c>
      <c r="T10" s="218">
        <f t="shared" si="0"/>
        <v>0</v>
      </c>
      <c r="U10" s="218">
        <f t="shared" si="0"/>
        <v>0</v>
      </c>
      <c r="V10" s="218">
        <f t="shared" si="0"/>
        <v>0</v>
      </c>
      <c r="W10" s="218">
        <f t="shared" si="0"/>
        <v>0</v>
      </c>
      <c r="X10" s="218">
        <f t="shared" si="0"/>
        <v>0</v>
      </c>
      <c r="Y10" s="218">
        <f t="shared" si="0"/>
        <v>0</v>
      </c>
      <c r="Z10" s="218">
        <f t="shared" si="0"/>
        <v>0</v>
      </c>
      <c r="AA10" s="218">
        <f>$E$7*AA9</f>
        <v>0</v>
      </c>
    </row>
    <row r="11" spans="3:27" ht="12.75">
      <c r="C11" s="152" t="s">
        <v>302</v>
      </c>
      <c r="D11" s="152" t="s">
        <v>52</v>
      </c>
      <c r="E11" s="218"/>
      <c r="F11" s="218"/>
      <c r="G11" s="249"/>
      <c r="H11" s="235"/>
      <c r="I11" s="235"/>
      <c r="J11" s="235"/>
      <c r="K11" s="235">
        <v>0</v>
      </c>
      <c r="L11" s="218">
        <f aca="true" t="shared" si="1" ref="L11:Z11">($G$6+$E$8)*L9</f>
        <v>0</v>
      </c>
      <c r="M11" s="218">
        <f t="shared" si="1"/>
        <v>0</v>
      </c>
      <c r="N11" s="218">
        <f t="shared" si="1"/>
        <v>0</v>
      </c>
      <c r="O11" s="218">
        <f t="shared" si="1"/>
        <v>0</v>
      </c>
      <c r="P11" s="218">
        <f t="shared" si="1"/>
        <v>0</v>
      </c>
      <c r="Q11" s="218">
        <f t="shared" si="1"/>
        <v>0</v>
      </c>
      <c r="R11" s="218">
        <f t="shared" si="1"/>
        <v>0</v>
      </c>
      <c r="S11" s="218">
        <f t="shared" si="1"/>
        <v>0</v>
      </c>
      <c r="T11" s="218">
        <f t="shared" si="1"/>
        <v>0</v>
      </c>
      <c r="U11" s="218">
        <f t="shared" si="1"/>
        <v>0</v>
      </c>
      <c r="V11" s="218">
        <f t="shared" si="1"/>
        <v>0</v>
      </c>
      <c r="W11" s="218">
        <f t="shared" si="1"/>
        <v>0</v>
      </c>
      <c r="X11" s="218">
        <f t="shared" si="1"/>
        <v>0</v>
      </c>
      <c r="Y11" s="218">
        <f t="shared" si="1"/>
        <v>0</v>
      </c>
      <c r="Z11" s="218">
        <f t="shared" si="1"/>
        <v>0</v>
      </c>
      <c r="AA11" s="218">
        <f>($G$6+$E$8)*AA9</f>
        <v>0</v>
      </c>
    </row>
    <row r="12" spans="3:27" ht="12.75">
      <c r="C12" s="152" t="s">
        <v>21</v>
      </c>
      <c r="D12" s="152" t="s">
        <v>52</v>
      </c>
      <c r="E12" s="160"/>
      <c r="F12" s="160"/>
      <c r="G12" s="249"/>
      <c r="H12" s="235"/>
      <c r="I12" s="235"/>
      <c r="J12" s="235"/>
      <c r="K12" s="235">
        <v>0</v>
      </c>
      <c r="L12" s="160">
        <f aca="true" t="shared" si="2" ref="L12:Z12">SUM(L10:L11)</f>
        <v>0</v>
      </c>
      <c r="M12" s="160">
        <f t="shared" si="2"/>
        <v>0</v>
      </c>
      <c r="N12" s="160">
        <f t="shared" si="2"/>
        <v>0</v>
      </c>
      <c r="O12" s="160">
        <f t="shared" si="2"/>
        <v>0</v>
      </c>
      <c r="P12" s="160">
        <f t="shared" si="2"/>
        <v>0</v>
      </c>
      <c r="Q12" s="160">
        <f t="shared" si="2"/>
        <v>0</v>
      </c>
      <c r="R12" s="160">
        <f t="shared" si="2"/>
        <v>0</v>
      </c>
      <c r="S12" s="160">
        <f t="shared" si="2"/>
        <v>0</v>
      </c>
      <c r="T12" s="160">
        <f t="shared" si="2"/>
        <v>0</v>
      </c>
      <c r="U12" s="160">
        <f t="shared" si="2"/>
        <v>0</v>
      </c>
      <c r="V12" s="160">
        <f t="shared" si="2"/>
        <v>0</v>
      </c>
      <c r="W12" s="160">
        <f t="shared" si="2"/>
        <v>0</v>
      </c>
      <c r="X12" s="160">
        <f t="shared" si="2"/>
        <v>0</v>
      </c>
      <c r="Y12" s="160">
        <f t="shared" si="2"/>
        <v>0</v>
      </c>
      <c r="Z12" s="160">
        <f t="shared" si="2"/>
        <v>0</v>
      </c>
      <c r="AA12" s="160">
        <f>SUM(AA10:AA11)</f>
        <v>0</v>
      </c>
    </row>
    <row r="13" spans="5:27" ht="12.75">
      <c r="E13" s="160"/>
      <c r="F13" s="160"/>
      <c r="G13" s="160"/>
      <c r="H13" s="160"/>
      <c r="I13" s="160"/>
      <c r="J13" s="160"/>
      <c r="K13" s="160"/>
      <c r="L13" s="160"/>
      <c r="M13" s="160"/>
      <c r="N13" s="160"/>
      <c r="O13" s="160"/>
      <c r="P13" s="160"/>
      <c r="Q13" s="160"/>
      <c r="R13" s="160"/>
      <c r="S13" s="160"/>
      <c r="T13" s="160"/>
      <c r="U13" s="160"/>
      <c r="V13" s="160"/>
      <c r="W13" s="160"/>
      <c r="X13" s="160"/>
      <c r="Y13" s="160"/>
      <c r="Z13" s="160"/>
      <c r="AA13" s="160"/>
    </row>
    <row r="14" spans="3:27" s="207" customFormat="1" ht="12.75">
      <c r="C14" s="207" t="s">
        <v>294</v>
      </c>
      <c r="D14" s="207" t="s">
        <v>52</v>
      </c>
      <c r="E14" s="223"/>
      <c r="F14" s="223"/>
      <c r="G14" s="160"/>
      <c r="H14" s="160"/>
      <c r="I14" s="160"/>
      <c r="J14" s="160"/>
      <c r="K14" s="160"/>
      <c r="L14" s="223">
        <f>L12*1!L$4</f>
        <v>0</v>
      </c>
      <c r="M14" s="223">
        <f>M12*1!M$4</f>
        <v>0</v>
      </c>
      <c r="N14" s="223">
        <f>N12*1!N$4</f>
        <v>0</v>
      </c>
      <c r="O14" s="223">
        <f>O12*1!O$4</f>
        <v>0</v>
      </c>
      <c r="P14" s="223">
        <f>P12*1!P$4</f>
        <v>0</v>
      </c>
      <c r="Q14" s="223">
        <f>Q12*1!Q$4</f>
        <v>0</v>
      </c>
      <c r="R14" s="223">
        <f>R12*1!R$4</f>
        <v>0</v>
      </c>
      <c r="S14" s="223">
        <f>S12*1!S$4</f>
        <v>0</v>
      </c>
      <c r="T14" s="223">
        <f>T12*1!T$4</f>
        <v>0</v>
      </c>
      <c r="U14" s="223">
        <f>U12*1!U$4</f>
        <v>0</v>
      </c>
      <c r="V14" s="223">
        <f>V12*1!V$4</f>
        <v>0</v>
      </c>
      <c r="W14" s="223">
        <f>W12*1!W$4</f>
        <v>0</v>
      </c>
      <c r="X14" s="223">
        <f>X12*1!X$4</f>
        <v>0</v>
      </c>
      <c r="Y14" s="223">
        <f>Y12*1!Y$4</f>
        <v>0</v>
      </c>
      <c r="Z14" s="223">
        <f>Z12*1!Z$4</f>
        <v>0</v>
      </c>
      <c r="AA14" s="223">
        <f>AA12*1!AA$4</f>
        <v>0</v>
      </c>
    </row>
    <row r="16" ht="12.75">
      <c r="C16" s="164"/>
    </row>
    <row r="17" ht="12.75">
      <c r="C17" s="164"/>
    </row>
    <row r="18" ht="12.75">
      <c r="C18" s="164"/>
    </row>
  </sheetData>
  <sheetProtection/>
  <mergeCells count="1">
    <mergeCell ref="H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Kolbergs</dc:creator>
  <cp:keywords/>
  <dc:description/>
  <cp:lastModifiedBy>Author</cp:lastModifiedBy>
  <cp:lastPrinted>2016-07-30T21:44:49Z</cp:lastPrinted>
  <dcterms:created xsi:type="dcterms:W3CDTF">2008-12-11T09:03:28Z</dcterms:created>
  <dcterms:modified xsi:type="dcterms:W3CDTF">2016-10-05T14:10:44Z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